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defaultThemeVersion="124226"/>
  <mc:AlternateContent xmlns:mc="http://schemas.openxmlformats.org/markup-compatibility/2006">
    <mc:Choice Requires="x15">
      <x15ac:absPath xmlns:x15ac="http://schemas.microsoft.com/office/spreadsheetml/2010/11/ac" url="/Users/olga/Desktop/Рейтинг 2023/"/>
    </mc:Choice>
  </mc:AlternateContent>
  <xr:revisionPtr revIDLastSave="0" documentId="13_ncr:1_{AC8B101E-AAB6-AF46-9F30-41F4C6072417}" xr6:coauthVersionLast="47" xr6:coauthVersionMax="47" xr10:uidLastSave="{00000000-0000-0000-0000-000000000000}"/>
  <bookViews>
    <workbookView xWindow="3120" yWindow="920" windowWidth="29180" windowHeight="18020" tabRatio="847" activeTab="1" xr2:uid="{00000000-000D-0000-FFFF-FFFF00000000}"/>
  </bookViews>
  <sheets>
    <sheet name="Рейтинг (раздел 1)" sheetId="92" r:id="rId1"/>
    <sheet name="Оценка (раздел 1)" sheetId="12" r:id="rId2"/>
    <sheet name="Методика (раздел 1)" sheetId="31" r:id="rId3"/>
    <sheet name="1.1" sheetId="87" r:id="rId4"/>
    <sheet name="1.2" sheetId="60" r:id="rId5"/>
    <sheet name="1.3" sheetId="61" r:id="rId6"/>
    <sheet name="1.4" sheetId="78" r:id="rId7"/>
    <sheet name="1.5" sheetId="70" r:id="rId8"/>
  </sheets>
  <definedNames>
    <definedName name="_xlnm._FilterDatabase" localSheetId="3" hidden="1">'1.1'!$A$25:$Q$25</definedName>
    <definedName name="_xlnm._FilterDatabase" localSheetId="4" hidden="1">'1.2'!$A$6:$CT$98</definedName>
    <definedName name="_xlnm._FilterDatabase" localSheetId="5" hidden="1">'1.3'!$A$6:$DR$98</definedName>
    <definedName name="_xlnm._FilterDatabase" localSheetId="6" hidden="1">'1.4'!$A$7:$AQ$102</definedName>
    <definedName name="_xlnm._FilterDatabase" localSheetId="7" hidden="1">'1.5'!$A$7:$N$102</definedName>
    <definedName name="_xlnm._FilterDatabase" localSheetId="1" hidden="1">'Оценка (раздел 1)'!$A$6:$I$99</definedName>
    <definedName name="_xlnm._FilterDatabase" localSheetId="0" hidden="1">'Рейтинг (раздел 1)'!$A$7:$I$95</definedName>
    <definedName name="_Toc262683" localSheetId="2">'Методика (раздел 1)'!$B$4</definedName>
    <definedName name="_Toc477267685" localSheetId="2">'Методика (раздел 1)'!#REF!</definedName>
    <definedName name="_Toc510692579" localSheetId="2">'Методика (раздел 1)'!$B$4</definedName>
    <definedName name="_xlnm.Print_Titles" localSheetId="3">'1.1'!$A:$A,'1.1'!$3:$5</definedName>
    <definedName name="_xlnm.Print_Titles" localSheetId="4">'1.2'!$3:$4</definedName>
    <definedName name="_xlnm.Print_Titles" localSheetId="5">'1.3'!$3:$5</definedName>
    <definedName name="_xlnm.Print_Titles" localSheetId="6">'1.4'!$A:$A,'1.4'!$3:$6</definedName>
    <definedName name="_xlnm.Print_Titles" localSheetId="7">'1.5'!$3:$6</definedName>
    <definedName name="_xlnm.Print_Titles" localSheetId="2">'Методика (раздел 1)'!$2:$3</definedName>
    <definedName name="_xlnm.Print_Titles" localSheetId="1">'Оценка (раздел 1)'!$A:$A,'Оценка (раздел 1)'!$3:$4</definedName>
    <definedName name="_xlnm.Print_Titles" localSheetId="0">'Рейтинг (раздел 1)'!$A:$A,'Рейтинг (раздел 1)'!$3:$4</definedName>
    <definedName name="_xlnm.Print_Area" localSheetId="3">'1.1'!$A$1:$P$98</definedName>
    <definedName name="_xlnm.Print_Area" localSheetId="4">'1.2'!$A$1:$I$98</definedName>
    <definedName name="_xlnm.Print_Area" localSheetId="5">'1.3'!$A$1:$I$98</definedName>
    <definedName name="_xlnm.Print_Area" localSheetId="6">'1.4'!$A$3:$AD$102</definedName>
    <definedName name="_xlnm.Print_Area" localSheetId="7">'1.5'!$A$1:$M$102</definedName>
    <definedName name="_xlnm.Print_Area" localSheetId="2">'Методика (раздел 1)'!$A$1:$E$36</definedName>
    <definedName name="_xlnm.Print_Area" localSheetId="1">'Оценка (раздел 1)'!$A$1:$I$99</definedName>
    <definedName name="_xlnm.Print_Area" localSheetId="0">'Рейтинг (раздел 1)'!$A$1:$I$95</definedName>
    <definedName name="sub_184133" localSheetId="2">'Методика (раздел 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9" i="92" l="1"/>
  <c r="H59" i="92"/>
  <c r="G59" i="92"/>
  <c r="F59" i="92"/>
  <c r="E59" i="92"/>
  <c r="I58" i="92"/>
  <c r="H58" i="92"/>
  <c r="G58" i="92"/>
  <c r="F58" i="92"/>
  <c r="E58" i="92"/>
  <c r="I34" i="92"/>
  <c r="H34" i="92"/>
  <c r="G34" i="92"/>
  <c r="F34" i="92"/>
  <c r="E34" i="92"/>
  <c r="I69" i="92"/>
  <c r="H69" i="92"/>
  <c r="G69" i="92"/>
  <c r="F69" i="92"/>
  <c r="E69" i="92"/>
  <c r="I46" i="92"/>
  <c r="H46" i="92"/>
  <c r="G46" i="92"/>
  <c r="F46" i="92"/>
  <c r="E46" i="92"/>
  <c r="I57" i="92"/>
  <c r="H57" i="92"/>
  <c r="G57" i="92"/>
  <c r="F57" i="92"/>
  <c r="E57" i="92"/>
  <c r="I33" i="92"/>
  <c r="H33" i="92"/>
  <c r="G33" i="92"/>
  <c r="F33" i="92"/>
  <c r="E33" i="92"/>
  <c r="I45" i="92"/>
  <c r="H45" i="92"/>
  <c r="G45" i="92"/>
  <c r="F45" i="92"/>
  <c r="E45" i="92"/>
  <c r="I68" i="92"/>
  <c r="H68" i="92"/>
  <c r="G68" i="92"/>
  <c r="F68" i="92"/>
  <c r="E68" i="92"/>
  <c r="I78" i="92"/>
  <c r="H78" i="92"/>
  <c r="G78" i="92"/>
  <c r="F78" i="92"/>
  <c r="E78" i="92"/>
  <c r="I44" i="92"/>
  <c r="H44" i="92"/>
  <c r="G44" i="92"/>
  <c r="F44" i="92"/>
  <c r="E44" i="92"/>
  <c r="I67" i="92"/>
  <c r="H67" i="92"/>
  <c r="G67" i="92"/>
  <c r="F67" i="92"/>
  <c r="E67" i="92"/>
  <c r="I56" i="92"/>
  <c r="H56" i="92"/>
  <c r="G56" i="92"/>
  <c r="F56" i="92"/>
  <c r="E56" i="92"/>
  <c r="I66" i="92"/>
  <c r="H66" i="92"/>
  <c r="G66" i="92"/>
  <c r="F66" i="92"/>
  <c r="E66" i="92"/>
  <c r="I32" i="92"/>
  <c r="H32" i="92"/>
  <c r="G32" i="92"/>
  <c r="F32" i="92"/>
  <c r="E32" i="92"/>
  <c r="I31" i="92"/>
  <c r="H31" i="92"/>
  <c r="G31" i="92"/>
  <c r="F31" i="92"/>
  <c r="E31" i="92"/>
  <c r="I65" i="92"/>
  <c r="H65" i="92"/>
  <c r="G65" i="92"/>
  <c r="F65" i="92"/>
  <c r="E65" i="92"/>
  <c r="I81" i="92"/>
  <c r="H81" i="92"/>
  <c r="G81" i="92"/>
  <c r="F81" i="92"/>
  <c r="E81" i="92"/>
  <c r="I30" i="92"/>
  <c r="H30" i="92"/>
  <c r="G30" i="92"/>
  <c r="F30" i="92"/>
  <c r="E30" i="92"/>
  <c r="I88" i="92"/>
  <c r="H88" i="92"/>
  <c r="G88" i="92"/>
  <c r="F88" i="92"/>
  <c r="E88" i="92"/>
  <c r="I43" i="92"/>
  <c r="H43" i="92"/>
  <c r="G43" i="92"/>
  <c r="F43" i="92"/>
  <c r="E43" i="92"/>
  <c r="I29" i="92"/>
  <c r="H29" i="92"/>
  <c r="G29" i="92"/>
  <c r="F29" i="92"/>
  <c r="E29" i="92"/>
  <c r="D29" i="92" s="1"/>
  <c r="I28" i="92"/>
  <c r="H28" i="92"/>
  <c r="G28" i="92"/>
  <c r="F28" i="92"/>
  <c r="E28" i="92"/>
  <c r="I27" i="92"/>
  <c r="H27" i="92"/>
  <c r="G27" i="92"/>
  <c r="F27" i="92"/>
  <c r="E27" i="92"/>
  <c r="I42" i="92"/>
  <c r="H42" i="92"/>
  <c r="G42" i="92"/>
  <c r="F42" i="92"/>
  <c r="E42" i="92"/>
  <c r="D42" i="92"/>
  <c r="I77" i="92"/>
  <c r="H77" i="92"/>
  <c r="G77" i="92"/>
  <c r="F77" i="92"/>
  <c r="E77" i="92"/>
  <c r="I87" i="92"/>
  <c r="H87" i="92"/>
  <c r="G87" i="92"/>
  <c r="F87" i="92"/>
  <c r="E87" i="92"/>
  <c r="I55" i="92"/>
  <c r="H55" i="92"/>
  <c r="G55" i="92"/>
  <c r="F55" i="92"/>
  <c r="E55" i="92"/>
  <c r="I26" i="92"/>
  <c r="H26" i="92"/>
  <c r="G26" i="92"/>
  <c r="F26" i="92"/>
  <c r="E26" i="92"/>
  <c r="I93" i="92"/>
  <c r="H93" i="92"/>
  <c r="G93" i="92"/>
  <c r="F93" i="92"/>
  <c r="E93" i="92"/>
  <c r="I76" i="92"/>
  <c r="H76" i="92"/>
  <c r="G76" i="92"/>
  <c r="F76" i="92"/>
  <c r="E76" i="92"/>
  <c r="I25" i="92"/>
  <c r="H25" i="92"/>
  <c r="G25" i="92"/>
  <c r="F25" i="92"/>
  <c r="E25" i="92"/>
  <c r="I41" i="92"/>
  <c r="H41" i="92"/>
  <c r="G41" i="92"/>
  <c r="F41" i="92"/>
  <c r="E41" i="92"/>
  <c r="I24" i="92"/>
  <c r="H24" i="92"/>
  <c r="G24" i="92"/>
  <c r="F24" i="92"/>
  <c r="E24" i="92"/>
  <c r="I94" i="92"/>
  <c r="H94" i="92"/>
  <c r="G94" i="92"/>
  <c r="F94" i="92"/>
  <c r="E94" i="92"/>
  <c r="I23" i="92"/>
  <c r="H23" i="92"/>
  <c r="G23" i="92"/>
  <c r="F23" i="92"/>
  <c r="E23" i="92"/>
  <c r="I64" i="92"/>
  <c r="H64" i="92"/>
  <c r="G64" i="92"/>
  <c r="F64" i="92"/>
  <c r="E64" i="92"/>
  <c r="I75" i="92"/>
  <c r="H75" i="92"/>
  <c r="G75" i="92"/>
  <c r="F75" i="92"/>
  <c r="E75" i="92"/>
  <c r="I92" i="92"/>
  <c r="H92" i="92"/>
  <c r="G92" i="92"/>
  <c r="F92" i="92"/>
  <c r="E92" i="92"/>
  <c r="I40" i="92"/>
  <c r="H40" i="92"/>
  <c r="G40" i="92"/>
  <c r="F40" i="92"/>
  <c r="E40" i="92"/>
  <c r="I22" i="92"/>
  <c r="H22" i="92"/>
  <c r="G22" i="92"/>
  <c r="F22" i="92"/>
  <c r="E22" i="92"/>
  <c r="I21" i="92"/>
  <c r="H21" i="92"/>
  <c r="G21" i="92"/>
  <c r="F21" i="92"/>
  <c r="E21" i="92"/>
  <c r="I91" i="92"/>
  <c r="H91" i="92"/>
  <c r="G91" i="92"/>
  <c r="F91" i="92"/>
  <c r="E91" i="92"/>
  <c r="I86" i="92"/>
  <c r="H86" i="92"/>
  <c r="G86" i="92"/>
  <c r="F86" i="92"/>
  <c r="E86" i="92"/>
  <c r="I74" i="92"/>
  <c r="H74" i="92"/>
  <c r="G74" i="92"/>
  <c r="F74" i="92"/>
  <c r="E74" i="92"/>
  <c r="I39" i="92"/>
  <c r="H39" i="92"/>
  <c r="G39" i="92"/>
  <c r="F39" i="92"/>
  <c r="E39" i="92"/>
  <c r="I90" i="92"/>
  <c r="H90" i="92"/>
  <c r="G90" i="92"/>
  <c r="F90" i="92"/>
  <c r="E90" i="92"/>
  <c r="I85" i="92"/>
  <c r="H85" i="92"/>
  <c r="G85" i="92"/>
  <c r="F85" i="92"/>
  <c r="E85" i="92"/>
  <c r="I70" i="92"/>
  <c r="H70" i="92"/>
  <c r="G70" i="92"/>
  <c r="F70" i="92"/>
  <c r="E70" i="92"/>
  <c r="I20" i="92"/>
  <c r="H20" i="92"/>
  <c r="G20" i="92"/>
  <c r="F20" i="92"/>
  <c r="E20" i="92"/>
  <c r="I54" i="92"/>
  <c r="H54" i="92"/>
  <c r="G54" i="92"/>
  <c r="F54" i="92"/>
  <c r="E54" i="92"/>
  <c r="I48" i="92"/>
  <c r="H48" i="92"/>
  <c r="G48" i="92"/>
  <c r="F48" i="92"/>
  <c r="E48" i="92"/>
  <c r="I19" i="92"/>
  <c r="H19" i="92"/>
  <c r="G19" i="92"/>
  <c r="F19" i="92"/>
  <c r="E19" i="92"/>
  <c r="I18" i="92"/>
  <c r="H18" i="92"/>
  <c r="G18" i="92"/>
  <c r="F18" i="92"/>
  <c r="E18" i="92"/>
  <c r="I17" i="92"/>
  <c r="H17" i="92"/>
  <c r="G17" i="92"/>
  <c r="F17" i="92"/>
  <c r="E17" i="92"/>
  <c r="I53" i="92"/>
  <c r="H53" i="92"/>
  <c r="G53" i="92"/>
  <c r="F53" i="92"/>
  <c r="E53" i="92"/>
  <c r="I38" i="92"/>
  <c r="H38" i="92"/>
  <c r="G38" i="92"/>
  <c r="F38" i="92"/>
  <c r="E38" i="92"/>
  <c r="I47" i="92"/>
  <c r="H47" i="92"/>
  <c r="G47" i="92"/>
  <c r="F47" i="92"/>
  <c r="E47" i="92"/>
  <c r="I63" i="92"/>
  <c r="H63" i="92"/>
  <c r="G63" i="92"/>
  <c r="F63" i="92"/>
  <c r="E63" i="92"/>
  <c r="I62" i="92"/>
  <c r="H62" i="92"/>
  <c r="G62" i="92"/>
  <c r="F62" i="92"/>
  <c r="E62" i="92"/>
  <c r="I37" i="92"/>
  <c r="H37" i="92"/>
  <c r="G37" i="92"/>
  <c r="F37" i="92"/>
  <c r="E37" i="92"/>
  <c r="I52" i="92"/>
  <c r="H52" i="92"/>
  <c r="G52" i="92"/>
  <c r="F52" i="92"/>
  <c r="E52" i="92"/>
  <c r="I84" i="92"/>
  <c r="H84" i="92"/>
  <c r="G84" i="92"/>
  <c r="F84" i="92"/>
  <c r="E84" i="92"/>
  <c r="I16" i="92"/>
  <c r="H16" i="92"/>
  <c r="G16" i="92"/>
  <c r="F16" i="92"/>
  <c r="E16" i="92"/>
  <c r="I15" i="92"/>
  <c r="H15" i="92"/>
  <c r="G15" i="92"/>
  <c r="F15" i="92"/>
  <c r="E15" i="92"/>
  <c r="I73" i="92"/>
  <c r="H73" i="92"/>
  <c r="G73" i="92"/>
  <c r="F73" i="92"/>
  <c r="E73" i="92"/>
  <c r="I14" i="92"/>
  <c r="H14" i="92"/>
  <c r="G14" i="92"/>
  <c r="F14" i="92"/>
  <c r="E14" i="92"/>
  <c r="I83" i="92"/>
  <c r="H83" i="92"/>
  <c r="G83" i="92"/>
  <c r="F83" i="92"/>
  <c r="E83" i="92"/>
  <c r="I72" i="92"/>
  <c r="H72" i="92"/>
  <c r="G72" i="92"/>
  <c r="F72" i="92"/>
  <c r="E72" i="92"/>
  <c r="I51" i="92"/>
  <c r="H51" i="92"/>
  <c r="G51" i="92"/>
  <c r="F51" i="92"/>
  <c r="E51" i="92"/>
  <c r="I36" i="92"/>
  <c r="H36" i="92"/>
  <c r="G36" i="92"/>
  <c r="F36" i="92"/>
  <c r="E36" i="92"/>
  <c r="I61" i="92"/>
  <c r="H61" i="92"/>
  <c r="G61" i="92"/>
  <c r="F61" i="92"/>
  <c r="E61" i="92"/>
  <c r="I50" i="92"/>
  <c r="H50" i="92"/>
  <c r="G50" i="92"/>
  <c r="F50" i="92"/>
  <c r="E50" i="92"/>
  <c r="I71" i="92"/>
  <c r="H71" i="92"/>
  <c r="G71" i="92"/>
  <c r="F71" i="92"/>
  <c r="E71" i="92"/>
  <c r="I80" i="92"/>
  <c r="H80" i="92"/>
  <c r="G80" i="92"/>
  <c r="F80" i="92"/>
  <c r="E80" i="92"/>
  <c r="I13" i="92"/>
  <c r="H13" i="92"/>
  <c r="G13" i="92"/>
  <c r="F13" i="92"/>
  <c r="E13" i="92"/>
  <c r="I35" i="92"/>
  <c r="H35" i="92"/>
  <c r="G35" i="92"/>
  <c r="F35" i="92"/>
  <c r="E35" i="92"/>
  <c r="I12" i="92"/>
  <c r="H12" i="92"/>
  <c r="G12" i="92"/>
  <c r="F12" i="92"/>
  <c r="E12" i="92"/>
  <c r="I82" i="92"/>
  <c r="H82" i="92"/>
  <c r="G82" i="92"/>
  <c r="F82" i="92"/>
  <c r="E82" i="92"/>
  <c r="I11" i="92"/>
  <c r="H11" i="92"/>
  <c r="G11" i="92"/>
  <c r="F11" i="92"/>
  <c r="E11" i="92"/>
  <c r="I10" i="92"/>
  <c r="H10" i="92"/>
  <c r="G10" i="92"/>
  <c r="F10" i="92"/>
  <c r="E10" i="92"/>
  <c r="I9" i="92"/>
  <c r="H9" i="92"/>
  <c r="G9" i="92"/>
  <c r="F9" i="92"/>
  <c r="E9" i="92"/>
  <c r="I8" i="92"/>
  <c r="H8" i="92"/>
  <c r="G8" i="92"/>
  <c r="F8" i="92"/>
  <c r="E8" i="92"/>
  <c r="I7" i="92"/>
  <c r="H7" i="92"/>
  <c r="G7" i="92"/>
  <c r="F7" i="92"/>
  <c r="E7" i="92"/>
  <c r="I49" i="92"/>
  <c r="H49" i="92"/>
  <c r="G49" i="92"/>
  <c r="F49" i="92"/>
  <c r="E49" i="92"/>
  <c r="D5" i="92"/>
  <c r="C33" i="92" s="1"/>
  <c r="G76" i="70"/>
  <c r="H39" i="70"/>
  <c r="G18" i="70"/>
  <c r="G11" i="70"/>
  <c r="J49" i="78"/>
  <c r="I49" i="78"/>
  <c r="D30" i="92" l="1"/>
  <c r="D59" i="92"/>
  <c r="D17" i="92"/>
  <c r="D76" i="92"/>
  <c r="D37" i="92"/>
  <c r="C24" i="92"/>
  <c r="D91" i="92"/>
  <c r="D25" i="92"/>
  <c r="D52" i="92"/>
  <c r="C10" i="92"/>
  <c r="C15" i="92"/>
  <c r="D41" i="92"/>
  <c r="C36" i="92"/>
  <c r="B36" i="92" s="1"/>
  <c r="D85" i="92"/>
  <c r="D69" i="92"/>
  <c r="D49" i="92"/>
  <c r="D36" i="92"/>
  <c r="D40" i="92"/>
  <c r="D32" i="92"/>
  <c r="C70" i="92"/>
  <c r="D39" i="92"/>
  <c r="D94" i="92"/>
  <c r="D81" i="92"/>
  <c r="D34" i="92"/>
  <c r="D61" i="92"/>
  <c r="D72" i="92"/>
  <c r="C17" i="92"/>
  <c r="D27" i="92"/>
  <c r="C9" i="92"/>
  <c r="D11" i="92"/>
  <c r="D35" i="92"/>
  <c r="D16" i="92"/>
  <c r="D84" i="92"/>
  <c r="C47" i="92"/>
  <c r="D53" i="92"/>
  <c r="D21" i="92"/>
  <c r="D92" i="92"/>
  <c r="D87" i="92"/>
  <c r="C81" i="92"/>
  <c r="D67" i="92"/>
  <c r="C68" i="92"/>
  <c r="C78" i="92"/>
  <c r="C59" i="92"/>
  <c r="B59" i="92" s="1"/>
  <c r="C42" i="92"/>
  <c r="B42" i="92" s="1"/>
  <c r="C20" i="92"/>
  <c r="C77" i="92"/>
  <c r="C8" i="92"/>
  <c r="C82" i="92"/>
  <c r="C50" i="92"/>
  <c r="C84" i="92"/>
  <c r="C22" i="92"/>
  <c r="D75" i="92"/>
  <c r="D26" i="92"/>
  <c r="D77" i="92"/>
  <c r="D44" i="92"/>
  <c r="D68" i="92"/>
  <c r="B68" i="92" s="1"/>
  <c r="D58" i="92"/>
  <c r="D51" i="92"/>
  <c r="C73" i="92"/>
  <c r="C58" i="92"/>
  <c r="D82" i="92"/>
  <c r="D13" i="92"/>
  <c r="C38" i="92"/>
  <c r="D22" i="92"/>
  <c r="C65" i="92"/>
  <c r="D31" i="92"/>
  <c r="D45" i="92"/>
  <c r="C61" i="92"/>
  <c r="B61" i="92" s="1"/>
  <c r="D12" i="92"/>
  <c r="C11" i="92"/>
  <c r="C71" i="92"/>
  <c r="C16" i="92"/>
  <c r="D18" i="92"/>
  <c r="D74" i="92"/>
  <c r="C21" i="92"/>
  <c r="D23" i="92"/>
  <c r="C41" i="92"/>
  <c r="D65" i="92"/>
  <c r="B65" i="92" s="1"/>
  <c r="D7" i="92"/>
  <c r="D8" i="92"/>
  <c r="D83" i="92"/>
  <c r="D70" i="92"/>
  <c r="D55" i="92"/>
  <c r="D43" i="92"/>
  <c r="D88" i="92"/>
  <c r="D66" i="92"/>
  <c r="D33" i="92"/>
  <c r="B33" i="92" s="1"/>
  <c r="D54" i="92"/>
  <c r="D46" i="92"/>
  <c r="D38" i="92"/>
  <c r="D47" i="92"/>
  <c r="D50" i="92"/>
  <c r="D73" i="92"/>
  <c r="D63" i="92"/>
  <c r="D56" i="92"/>
  <c r="D57" i="92"/>
  <c r="D48" i="92"/>
  <c r="D10" i="92"/>
  <c r="B10" i="92" s="1"/>
  <c r="D71" i="92"/>
  <c r="D14" i="92"/>
  <c r="D62" i="92"/>
  <c r="D19" i="92"/>
  <c r="D20" i="92"/>
  <c r="D86" i="92"/>
  <c r="D64" i="92"/>
  <c r="D93" i="92"/>
  <c r="D28" i="92"/>
  <c r="D78" i="92"/>
  <c r="D15" i="92"/>
  <c r="D9" i="92"/>
  <c r="D80" i="92"/>
  <c r="D90" i="92"/>
  <c r="D24" i="92"/>
  <c r="C53" i="92"/>
  <c r="C85" i="92"/>
  <c r="C40" i="92"/>
  <c r="C25" i="92"/>
  <c r="C27" i="92"/>
  <c r="C31" i="92"/>
  <c r="C45" i="92"/>
  <c r="C80" i="92"/>
  <c r="C14" i="92"/>
  <c r="C63" i="92"/>
  <c r="C54" i="92"/>
  <c r="C91" i="92"/>
  <c r="B91" i="92" s="1"/>
  <c r="C94" i="92"/>
  <c r="C87" i="92"/>
  <c r="C30" i="92"/>
  <c r="B30" i="92" s="1"/>
  <c r="C44" i="92"/>
  <c r="C34" i="92"/>
  <c r="C13" i="92"/>
  <c r="C48" i="92"/>
  <c r="C23" i="92"/>
  <c r="C69" i="92"/>
  <c r="C83" i="92"/>
  <c r="C86" i="92"/>
  <c r="C55" i="92"/>
  <c r="C49" i="92"/>
  <c r="C35" i="92"/>
  <c r="C72" i="92"/>
  <c r="C37" i="92"/>
  <c r="C19" i="92"/>
  <c r="C74" i="92"/>
  <c r="C64" i="92"/>
  <c r="C26" i="92"/>
  <c r="C43" i="92"/>
  <c r="C56" i="92"/>
  <c r="C46" i="92"/>
  <c r="C7" i="92"/>
  <c r="C62" i="92"/>
  <c r="C88" i="92"/>
  <c r="C67" i="92"/>
  <c r="C12" i="92"/>
  <c r="C51" i="92"/>
  <c r="B51" i="92" s="1"/>
  <c r="C52" i="92"/>
  <c r="B52" i="92" s="1"/>
  <c r="C18" i="92"/>
  <c r="C39" i="92"/>
  <c r="C75" i="92"/>
  <c r="C93" i="92"/>
  <c r="C29" i="92"/>
  <c r="B29" i="92" s="1"/>
  <c r="C66" i="92"/>
  <c r="C57" i="92"/>
  <c r="C90" i="92"/>
  <c r="C92" i="92"/>
  <c r="C76" i="92"/>
  <c r="C28" i="92"/>
  <c r="C32" i="92"/>
  <c r="B32" i="92" s="1"/>
  <c r="F49" i="70"/>
  <c r="B45" i="92" l="1"/>
  <c r="B17" i="92"/>
  <c r="B94" i="92"/>
  <c r="B35" i="92"/>
  <c r="B77" i="92"/>
  <c r="B66" i="92"/>
  <c r="B11" i="92"/>
  <c r="B76" i="92"/>
  <c r="B23" i="92"/>
  <c r="B81" i="92"/>
  <c r="B26" i="92"/>
  <c r="B70" i="92"/>
  <c r="B12" i="92"/>
  <c r="B84" i="92"/>
  <c r="B25" i="92"/>
  <c r="B69" i="92"/>
  <c r="B87" i="92"/>
  <c r="B20" i="92"/>
  <c r="B82" i="92"/>
  <c r="B34" i="92"/>
  <c r="B49" i="92"/>
  <c r="B85" i="92"/>
  <c r="B24" i="92"/>
  <c r="B37" i="92"/>
  <c r="B8" i="92"/>
  <c r="B58" i="92"/>
  <c r="B22" i="92"/>
  <c r="B31" i="92"/>
  <c r="B56" i="92"/>
  <c r="B75" i="92"/>
  <c r="B27" i="92"/>
  <c r="B9" i="92"/>
  <c r="B90" i="92"/>
  <c r="B39" i="92"/>
  <c r="B41" i="92"/>
  <c r="B15" i="92"/>
  <c r="B73" i="92"/>
  <c r="B92" i="92"/>
  <c r="B18" i="92"/>
  <c r="B74" i="92"/>
  <c r="B86" i="92"/>
  <c r="B40" i="92"/>
  <c r="B54" i="92"/>
  <c r="B19" i="92"/>
  <c r="B16" i="92"/>
  <c r="B72" i="92"/>
  <c r="B57" i="92"/>
  <c r="B21" i="92"/>
  <c r="B7" i="92"/>
  <c r="B67" i="92"/>
  <c r="B83" i="92"/>
  <c r="B48" i="92"/>
  <c r="B78" i="92"/>
  <c r="B50" i="92"/>
  <c r="B43" i="92"/>
  <c r="B62" i="92"/>
  <c r="B13" i="92"/>
  <c r="B44" i="92"/>
  <c r="B80" i="92"/>
  <c r="B71" i="92"/>
  <c r="B47" i="92"/>
  <c r="B55" i="92"/>
  <c r="B64" i="92"/>
  <c r="B46" i="92"/>
  <c r="B53" i="92"/>
  <c r="B38" i="92"/>
  <c r="B63" i="92"/>
  <c r="B93" i="92"/>
  <c r="B14" i="92"/>
  <c r="B28" i="92"/>
  <c r="B88" i="92"/>
  <c r="G99" i="70"/>
  <c r="F96" i="70"/>
  <c r="J96" i="78"/>
  <c r="G24" i="70"/>
  <c r="G44" i="70"/>
  <c r="H44" i="70"/>
  <c r="G94" i="70"/>
  <c r="G93" i="70"/>
  <c r="G83" i="70"/>
  <c r="G82" i="70"/>
  <c r="G80" i="70"/>
  <c r="G62" i="70" l="1"/>
  <c r="G61" i="70"/>
  <c r="G60" i="70"/>
  <c r="G45" i="70"/>
  <c r="G31" i="70"/>
  <c r="G22" i="70" l="1"/>
  <c r="G19" i="70"/>
  <c r="G20" i="70"/>
  <c r="G12" i="70" l="1"/>
  <c r="G71" i="70"/>
  <c r="F60" i="70"/>
  <c r="M72" i="78"/>
  <c r="M44" i="78"/>
  <c r="M52" i="78"/>
  <c r="W52" i="78" s="1"/>
  <c r="Y52" i="78" s="1"/>
  <c r="M49" i="78"/>
  <c r="V44" i="78"/>
  <c r="T99" i="78"/>
  <c r="S93" i="78"/>
  <c r="I86" i="78"/>
  <c r="K86" i="78"/>
  <c r="W44" i="78" l="1"/>
  <c r="Y44" i="78" s="1"/>
  <c r="N52" i="78"/>
  <c r="V76" i="78"/>
  <c r="V78" i="78"/>
  <c r="V79" i="78"/>
  <c r="V80" i="78"/>
  <c r="V81" i="78"/>
  <c r="V82" i="78"/>
  <c r="V83" i="78"/>
  <c r="V84" i="78"/>
  <c r="V87" i="78"/>
  <c r="V89" i="78"/>
  <c r="V90" i="78"/>
  <c r="V92" i="78"/>
  <c r="V93" i="78"/>
  <c r="V95" i="78"/>
  <c r="V96" i="78"/>
  <c r="V97" i="78"/>
  <c r="V98" i="78"/>
  <c r="V99" i="78"/>
  <c r="M78" i="78"/>
  <c r="M79" i="78"/>
  <c r="N79" i="78" s="1"/>
  <c r="M80" i="78"/>
  <c r="N80" i="78" s="1"/>
  <c r="M81" i="78"/>
  <c r="M82" i="78"/>
  <c r="M83" i="78"/>
  <c r="N83" i="78" s="1"/>
  <c r="M84" i="78"/>
  <c r="N84" i="78" s="1"/>
  <c r="M85" i="78"/>
  <c r="M87" i="78"/>
  <c r="M89" i="78"/>
  <c r="M91" i="78"/>
  <c r="N91" i="78" s="1"/>
  <c r="M94" i="78"/>
  <c r="N94" i="78" s="1"/>
  <c r="M95" i="78"/>
  <c r="N95" i="78" s="1"/>
  <c r="M97" i="78"/>
  <c r="M98" i="78"/>
  <c r="M99" i="78"/>
  <c r="N99" i="78" s="1"/>
  <c r="M76" i="78"/>
  <c r="N76" i="78" s="1"/>
  <c r="W81" i="78" l="1"/>
  <c r="Y81" i="78" s="1"/>
  <c r="W98" i="78"/>
  <c r="Y98" i="78" s="1"/>
  <c r="W89" i="78"/>
  <c r="Y89" i="78" s="1"/>
  <c r="W87" i="78"/>
  <c r="Y87" i="78" s="1"/>
  <c r="W82" i="78"/>
  <c r="Y82" i="78" s="1"/>
  <c r="W80" i="78"/>
  <c r="Y80" i="78" s="1"/>
  <c r="W97" i="78"/>
  <c r="Y97" i="78" s="1"/>
  <c r="N89" i="78"/>
  <c r="N87" i="78"/>
  <c r="W99" i="78"/>
  <c r="Y99" i="78" s="1"/>
  <c r="W78" i="78"/>
  <c r="Y78" i="78" s="1"/>
  <c r="W84" i="78"/>
  <c r="Y84" i="78" s="1"/>
  <c r="N97" i="78"/>
  <c r="N98" i="78"/>
  <c r="W83" i="78"/>
  <c r="Y83" i="78" s="1"/>
  <c r="W95" i="78"/>
  <c r="Y95" i="78" s="1"/>
  <c r="W76" i="78"/>
  <c r="W79" i="78"/>
  <c r="Y79" i="78" s="1"/>
  <c r="V71" i="78"/>
  <c r="V72" i="78"/>
  <c r="W72" i="78" s="1"/>
  <c r="Y72" i="78" s="1"/>
  <c r="V73" i="78"/>
  <c r="V74" i="78"/>
  <c r="V75" i="78"/>
  <c r="M71" i="78"/>
  <c r="M73" i="78"/>
  <c r="N73" i="78" s="1"/>
  <c r="M74" i="78"/>
  <c r="N74" i="78" s="1"/>
  <c r="M75" i="78"/>
  <c r="N75" i="78" s="1"/>
  <c r="M66" i="78"/>
  <c r="I62" i="78"/>
  <c r="M62" i="78" s="1"/>
  <c r="V62" i="78"/>
  <c r="I59" i="78"/>
  <c r="M59" i="78" s="1"/>
  <c r="V57" i="78"/>
  <c r="V58" i="78"/>
  <c r="V59" i="78"/>
  <c r="V61" i="78"/>
  <c r="V65" i="78"/>
  <c r="V66" i="78"/>
  <c r="V67" i="78"/>
  <c r="V68" i="78"/>
  <c r="V69" i="78"/>
  <c r="M57" i="78"/>
  <c r="N57" i="78" s="1"/>
  <c r="M61" i="78"/>
  <c r="N61" i="78" s="1"/>
  <c r="M65" i="78"/>
  <c r="N65" i="78" s="1"/>
  <c r="M67" i="78"/>
  <c r="M68" i="78"/>
  <c r="N68" i="78" s="1"/>
  <c r="M69" i="78"/>
  <c r="I51" i="78"/>
  <c r="N71" i="78" l="1"/>
  <c r="W71" i="78"/>
  <c r="Y71" i="78" s="1"/>
  <c r="W66" i="78"/>
  <c r="Y66" i="78" s="1"/>
  <c r="W61" i="78"/>
  <c r="W75" i="78"/>
  <c r="W67" i="78"/>
  <c r="W68" i="78"/>
  <c r="N67" i="78"/>
  <c r="W57" i="78"/>
  <c r="W74" i="78"/>
  <c r="W69" i="78"/>
  <c r="W65" i="78"/>
  <c r="W73" i="78"/>
  <c r="W59" i="78"/>
  <c r="Y59" i="78" s="1"/>
  <c r="W62" i="78"/>
  <c r="M42" i="78"/>
  <c r="S39" i="78"/>
  <c r="V39" i="78" s="1"/>
  <c r="V49" i="78"/>
  <c r="W49" i="78" s="1"/>
  <c r="Y49" i="78" s="1"/>
  <c r="V50" i="78"/>
  <c r="V51" i="78"/>
  <c r="N54" i="78"/>
  <c r="M48" i="78"/>
  <c r="W48" i="78" s="1"/>
  <c r="Y48" i="78" s="1"/>
  <c r="M50" i="78"/>
  <c r="M51" i="78"/>
  <c r="N51" i="78" s="1"/>
  <c r="M53" i="78"/>
  <c r="N53" i="78" s="1"/>
  <c r="M54" i="78"/>
  <c r="I46" i="78"/>
  <c r="W50" i="78" l="1"/>
  <c r="Y50" i="78" s="1"/>
  <c r="W51" i="78"/>
  <c r="L43" i="78"/>
  <c r="K43" i="78"/>
  <c r="J43" i="78"/>
  <c r="M45" i="78"/>
  <c r="M40" i="78" l="1"/>
  <c r="I39" i="78" l="1"/>
  <c r="V40" i="78"/>
  <c r="V42" i="78"/>
  <c r="W42" i="78" s="1"/>
  <c r="V45" i="78"/>
  <c r="W45" i="78" s="1"/>
  <c r="V46" i="78"/>
  <c r="N45" i="78"/>
  <c r="M39" i="78"/>
  <c r="N42" i="78"/>
  <c r="V27" i="78"/>
  <c r="V28" i="78"/>
  <c r="V31" i="78"/>
  <c r="V33" i="78"/>
  <c r="V34" i="78"/>
  <c r="V36" i="78"/>
  <c r="V37" i="78"/>
  <c r="Q32" i="78"/>
  <c r="I31" i="78"/>
  <c r="W40" i="78" l="1"/>
  <c r="W39" i="78"/>
  <c r="Y39" i="78" s="1"/>
  <c r="M27" i="78"/>
  <c r="W27" i="78" s="1"/>
  <c r="M28" i="78"/>
  <c r="N28" i="78" s="1"/>
  <c r="M30" i="78"/>
  <c r="M31" i="78"/>
  <c r="W31" i="78" s="1"/>
  <c r="M32" i="78"/>
  <c r="N32" i="78" s="1"/>
  <c r="M33" i="78"/>
  <c r="W33" i="78" s="1"/>
  <c r="M34" i="78"/>
  <c r="W34" i="78" s="1"/>
  <c r="M35" i="78"/>
  <c r="M37" i="78"/>
  <c r="N37" i="78" s="1"/>
  <c r="L24" i="78"/>
  <c r="I24" i="78"/>
  <c r="I19" i="78"/>
  <c r="L19" i="78"/>
  <c r="S21" i="78"/>
  <c r="V21" i="78" s="1"/>
  <c r="M10" i="78"/>
  <c r="M21" i="78"/>
  <c r="N21" i="78" s="1"/>
  <c r="M22" i="78"/>
  <c r="N22" i="78" s="1"/>
  <c r="M25" i="78"/>
  <c r="N25" i="78" s="1"/>
  <c r="V20" i="78"/>
  <c r="V22" i="78"/>
  <c r="V25" i="78"/>
  <c r="M11" i="78"/>
  <c r="M13" i="78"/>
  <c r="M17" i="78"/>
  <c r="R19" i="78"/>
  <c r="V19" i="78" s="1"/>
  <c r="N34" i="78" l="1"/>
  <c r="N33" i="78"/>
  <c r="N30" i="78"/>
  <c r="N17" i="78"/>
  <c r="W37" i="78"/>
  <c r="W28" i="78"/>
  <c r="N27" i="78"/>
  <c r="N31" i="78"/>
  <c r="L16" i="78"/>
  <c r="H16" i="78"/>
  <c r="K16" i="78"/>
  <c r="J16" i="78"/>
  <c r="I16" i="78"/>
  <c r="V16" i="78"/>
  <c r="P15" i="78"/>
  <c r="V15" i="78" s="1"/>
  <c r="S15" i="78"/>
  <c r="V14" i="78"/>
  <c r="S13" i="78"/>
  <c r="V13" i="78" s="1"/>
  <c r="N13" i="78"/>
  <c r="R12" i="78"/>
  <c r="V12" i="78" s="1"/>
  <c r="W22" i="78"/>
  <c r="Y22" i="78" s="1"/>
  <c r="V11" i="78"/>
  <c r="W11" i="78" s="1"/>
  <c r="Y11" i="78" s="1"/>
  <c r="N11" i="78"/>
  <c r="V10" i="78"/>
  <c r="N10" i="78"/>
  <c r="P9" i="78"/>
  <c r="L9" i="78"/>
  <c r="K9" i="78"/>
  <c r="J9" i="78"/>
  <c r="I9" i="78"/>
  <c r="H9" i="78"/>
  <c r="I8" i="78"/>
  <c r="M8" i="78" s="1"/>
  <c r="N8" i="78" s="1"/>
  <c r="Q17" i="78"/>
  <c r="V17" i="78" s="1"/>
  <c r="W17" i="78" s="1"/>
  <c r="Y17" i="78" s="1"/>
  <c r="AA9" i="78"/>
  <c r="AA10" i="78"/>
  <c r="AA11" i="78"/>
  <c r="AA12" i="78"/>
  <c r="AA13" i="78"/>
  <c r="AA14" i="78"/>
  <c r="AA15" i="78"/>
  <c r="AA16" i="78"/>
  <c r="AA17" i="78"/>
  <c r="AA18" i="78"/>
  <c r="AA19" i="78"/>
  <c r="AA20" i="78"/>
  <c r="AA21" i="78"/>
  <c r="AA22" i="78"/>
  <c r="AA23" i="78"/>
  <c r="AA24" i="78"/>
  <c r="AA25" i="78"/>
  <c r="AA27" i="78"/>
  <c r="AA28" i="78"/>
  <c r="AA29" i="78"/>
  <c r="AA30" i="78"/>
  <c r="AA31" i="78"/>
  <c r="AA32" i="78"/>
  <c r="AA33" i="78"/>
  <c r="AA34" i="78"/>
  <c r="AA35" i="78"/>
  <c r="AA36" i="78"/>
  <c r="AA37" i="78"/>
  <c r="AA39" i="78"/>
  <c r="AA40" i="78"/>
  <c r="AA41" i="78"/>
  <c r="AA42" i="78"/>
  <c r="AA43" i="78"/>
  <c r="AA44" i="78"/>
  <c r="AA45" i="78"/>
  <c r="AA46" i="78"/>
  <c r="AA48" i="78"/>
  <c r="AA49" i="78"/>
  <c r="AA50" i="78"/>
  <c r="AA51" i="78"/>
  <c r="AA52" i="78"/>
  <c r="AA53" i="78"/>
  <c r="AA54" i="78"/>
  <c r="AA56" i="78"/>
  <c r="AA57" i="78"/>
  <c r="AA58" i="78"/>
  <c r="AA59" i="78"/>
  <c r="AA60" i="78"/>
  <c r="AA61" i="78"/>
  <c r="AA62" i="78"/>
  <c r="AA63" i="78"/>
  <c r="AA64" i="78"/>
  <c r="AA65" i="78"/>
  <c r="AA66" i="78"/>
  <c r="AA67" i="78"/>
  <c r="AA68" i="78"/>
  <c r="AA69" i="78"/>
  <c r="AA71" i="78"/>
  <c r="AA72" i="78"/>
  <c r="AA73" i="78"/>
  <c r="AA74" i="78"/>
  <c r="AA75" i="78"/>
  <c r="AA76" i="78"/>
  <c r="AA78" i="78"/>
  <c r="AA79" i="78"/>
  <c r="AA80" i="78"/>
  <c r="AA81" i="78"/>
  <c r="AA82" i="78"/>
  <c r="AA83" i="78"/>
  <c r="AA84" i="78"/>
  <c r="AA85" i="78"/>
  <c r="AA86" i="78"/>
  <c r="AA87" i="78"/>
  <c r="AA89" i="78"/>
  <c r="AA90" i="78"/>
  <c r="AA91" i="78"/>
  <c r="AA92" i="78"/>
  <c r="AA93" i="78"/>
  <c r="AA94" i="78"/>
  <c r="AA95" i="78"/>
  <c r="AA96" i="78"/>
  <c r="AA97" i="78"/>
  <c r="AA98" i="78"/>
  <c r="AA99" i="78"/>
  <c r="AA8" i="78"/>
  <c r="M9" i="78" l="1"/>
  <c r="N9" i="78" s="1"/>
  <c r="M16" i="78"/>
  <c r="N16" i="78" s="1"/>
  <c r="W10" i="78"/>
  <c r="Y10" i="78" s="1"/>
  <c r="G8" i="61" l="1"/>
  <c r="G9" i="61"/>
  <c r="G10" i="61"/>
  <c r="G11" i="61"/>
  <c r="G12" i="61"/>
  <c r="G13" i="61"/>
  <c r="G14" i="61"/>
  <c r="G15" i="61"/>
  <c r="G16" i="61"/>
  <c r="G17" i="61"/>
  <c r="G18" i="61"/>
  <c r="G19" i="61"/>
  <c r="G20" i="61"/>
  <c r="G21" i="61"/>
  <c r="G22" i="61"/>
  <c r="G23" i="61"/>
  <c r="G24" i="61"/>
  <c r="G26" i="61"/>
  <c r="G27" i="61"/>
  <c r="G28" i="61"/>
  <c r="G29" i="61"/>
  <c r="G30" i="61"/>
  <c r="G31" i="61"/>
  <c r="G32" i="61"/>
  <c r="G33" i="61"/>
  <c r="G34" i="61"/>
  <c r="G35" i="61"/>
  <c r="G36" i="61"/>
  <c r="G38" i="61"/>
  <c r="G39" i="61"/>
  <c r="G40" i="61"/>
  <c r="G41" i="61"/>
  <c r="G42" i="61"/>
  <c r="G43" i="61"/>
  <c r="G44" i="61"/>
  <c r="G45" i="61"/>
  <c r="G47" i="61"/>
  <c r="G48" i="61"/>
  <c r="G49" i="61"/>
  <c r="G50" i="61"/>
  <c r="G51" i="61"/>
  <c r="G52" i="61"/>
  <c r="G53" i="61"/>
  <c r="G55" i="61"/>
  <c r="G56" i="61"/>
  <c r="G57" i="61"/>
  <c r="G58" i="61"/>
  <c r="G59" i="61"/>
  <c r="G60" i="61"/>
  <c r="G61" i="61"/>
  <c r="G62" i="61"/>
  <c r="G63" i="61"/>
  <c r="G64" i="61"/>
  <c r="G65" i="61"/>
  <c r="G66" i="61"/>
  <c r="G67" i="61"/>
  <c r="G68" i="61"/>
  <c r="G70" i="61"/>
  <c r="G71" i="61"/>
  <c r="G72" i="61"/>
  <c r="G73" i="61"/>
  <c r="G74" i="61"/>
  <c r="G75" i="61"/>
  <c r="G77" i="61"/>
  <c r="G78" i="61"/>
  <c r="G79" i="61"/>
  <c r="G80" i="61"/>
  <c r="G81" i="61"/>
  <c r="G82" i="61"/>
  <c r="G83" i="61"/>
  <c r="G84" i="61"/>
  <c r="G85" i="61"/>
  <c r="G86" i="61"/>
  <c r="G88" i="61"/>
  <c r="G89" i="61"/>
  <c r="G90" i="61"/>
  <c r="G91" i="61"/>
  <c r="G92" i="61"/>
  <c r="G93" i="61"/>
  <c r="G94" i="61"/>
  <c r="G95" i="61"/>
  <c r="G96" i="61"/>
  <c r="G97" i="61"/>
  <c r="G98" i="61"/>
  <c r="G7" i="61"/>
  <c r="G8" i="60"/>
  <c r="G9" i="60"/>
  <c r="G10" i="60"/>
  <c r="G11" i="60"/>
  <c r="G12" i="60"/>
  <c r="G13" i="60"/>
  <c r="G14" i="60"/>
  <c r="G15" i="60"/>
  <c r="G16" i="60"/>
  <c r="G17" i="60"/>
  <c r="G18" i="60"/>
  <c r="G19" i="60"/>
  <c r="G20" i="60"/>
  <c r="G21" i="60"/>
  <c r="G22" i="60"/>
  <c r="G23" i="60"/>
  <c r="G24" i="60"/>
  <c r="G26" i="60"/>
  <c r="G27" i="60"/>
  <c r="G28" i="60"/>
  <c r="G29" i="60"/>
  <c r="G30" i="60"/>
  <c r="G31" i="60"/>
  <c r="G32" i="60"/>
  <c r="G33" i="60"/>
  <c r="G34" i="60"/>
  <c r="G35" i="60"/>
  <c r="G36" i="60"/>
  <c r="G38" i="60"/>
  <c r="G39" i="60"/>
  <c r="G40" i="60"/>
  <c r="G41" i="60"/>
  <c r="G42" i="60"/>
  <c r="G43" i="60"/>
  <c r="G44" i="60"/>
  <c r="G45" i="60"/>
  <c r="G47" i="60"/>
  <c r="G48" i="60"/>
  <c r="G49" i="60"/>
  <c r="G50" i="60"/>
  <c r="G51" i="60"/>
  <c r="G52" i="60"/>
  <c r="G53" i="60"/>
  <c r="G55" i="60"/>
  <c r="G56" i="60"/>
  <c r="G57" i="60"/>
  <c r="G58" i="60"/>
  <c r="G59" i="60"/>
  <c r="G60" i="60"/>
  <c r="G61" i="60"/>
  <c r="G62" i="60"/>
  <c r="G63" i="60"/>
  <c r="G64" i="60"/>
  <c r="G65" i="60"/>
  <c r="G66" i="60"/>
  <c r="G67" i="60"/>
  <c r="G68" i="60"/>
  <c r="G70" i="60"/>
  <c r="G71" i="60"/>
  <c r="G72" i="60"/>
  <c r="G73" i="60"/>
  <c r="G74" i="60"/>
  <c r="G75" i="60"/>
  <c r="G77" i="60"/>
  <c r="G78" i="60"/>
  <c r="G79" i="60"/>
  <c r="G80" i="60"/>
  <c r="G81" i="60"/>
  <c r="G82" i="60"/>
  <c r="G83" i="60"/>
  <c r="G84" i="60"/>
  <c r="G85" i="60"/>
  <c r="G86" i="60"/>
  <c r="G88" i="60"/>
  <c r="G89" i="60"/>
  <c r="G90" i="60"/>
  <c r="G91" i="60"/>
  <c r="G92" i="60"/>
  <c r="G93" i="60"/>
  <c r="G94" i="60"/>
  <c r="G95" i="60"/>
  <c r="G96" i="60"/>
  <c r="G97" i="60"/>
  <c r="G98" i="60"/>
  <c r="G7" i="60"/>
  <c r="C98" i="87" l="1"/>
  <c r="F98" i="87" s="1"/>
  <c r="E98" i="12" s="1"/>
  <c r="C97" i="87"/>
  <c r="F97" i="87" s="1"/>
  <c r="E97" i="12" s="1"/>
  <c r="C96" i="87"/>
  <c r="F96" i="87" s="1"/>
  <c r="E96" i="12" s="1"/>
  <c r="C95" i="87"/>
  <c r="F95" i="87" s="1"/>
  <c r="E95" i="12" s="1"/>
  <c r="C94" i="87"/>
  <c r="F94" i="87" s="1"/>
  <c r="E94" i="12" s="1"/>
  <c r="C93" i="87"/>
  <c r="F93" i="87" s="1"/>
  <c r="E93" i="12" s="1"/>
  <c r="C92" i="87"/>
  <c r="F92" i="87" s="1"/>
  <c r="E92" i="12" s="1"/>
  <c r="C91" i="87"/>
  <c r="F91" i="87" s="1"/>
  <c r="E91" i="12" s="1"/>
  <c r="C90" i="87"/>
  <c r="F90" i="87" s="1"/>
  <c r="E90" i="12" s="1"/>
  <c r="C89" i="87"/>
  <c r="F89" i="87" s="1"/>
  <c r="E89" i="12" s="1"/>
  <c r="C88" i="87"/>
  <c r="F88" i="87" s="1"/>
  <c r="E88" i="12" s="1"/>
  <c r="C86" i="87"/>
  <c r="F86" i="87" s="1"/>
  <c r="E86" i="12" s="1"/>
  <c r="C85" i="87"/>
  <c r="F85" i="87" s="1"/>
  <c r="E85" i="12" s="1"/>
  <c r="C84" i="87"/>
  <c r="F84" i="87" s="1"/>
  <c r="E84" i="12" s="1"/>
  <c r="C83" i="87"/>
  <c r="F83" i="87" s="1"/>
  <c r="E83" i="12" s="1"/>
  <c r="C82" i="87"/>
  <c r="F82" i="87" s="1"/>
  <c r="E82" i="12" s="1"/>
  <c r="C81" i="87"/>
  <c r="F81" i="87" s="1"/>
  <c r="E81" i="12" s="1"/>
  <c r="C80" i="87"/>
  <c r="F80" i="87" s="1"/>
  <c r="E80" i="12" s="1"/>
  <c r="C79" i="87"/>
  <c r="F79" i="87" s="1"/>
  <c r="E79" i="12" s="1"/>
  <c r="C78" i="87"/>
  <c r="F78" i="87" s="1"/>
  <c r="E78" i="12" s="1"/>
  <c r="C77" i="87"/>
  <c r="F77" i="87" s="1"/>
  <c r="E77" i="12" s="1"/>
  <c r="C75" i="87"/>
  <c r="F75" i="87" s="1"/>
  <c r="E75" i="12" s="1"/>
  <c r="C74" i="87"/>
  <c r="F74" i="87" s="1"/>
  <c r="E74" i="12" s="1"/>
  <c r="C73" i="87"/>
  <c r="F73" i="87" s="1"/>
  <c r="E73" i="12" s="1"/>
  <c r="C72" i="87"/>
  <c r="F72" i="87" s="1"/>
  <c r="E72" i="12" s="1"/>
  <c r="C71" i="87"/>
  <c r="F71" i="87" s="1"/>
  <c r="E71" i="12" s="1"/>
  <c r="C70" i="87"/>
  <c r="F70" i="87" s="1"/>
  <c r="E70" i="12" s="1"/>
  <c r="C68" i="87"/>
  <c r="F68" i="87" s="1"/>
  <c r="E68" i="12" s="1"/>
  <c r="C67" i="87"/>
  <c r="F67" i="87" s="1"/>
  <c r="E67" i="12" s="1"/>
  <c r="C66" i="87"/>
  <c r="F66" i="87" s="1"/>
  <c r="E66" i="12" s="1"/>
  <c r="C65" i="87"/>
  <c r="F65" i="87" s="1"/>
  <c r="E65" i="12" s="1"/>
  <c r="C64" i="87"/>
  <c r="F64" i="87" s="1"/>
  <c r="E64" i="12" s="1"/>
  <c r="C63" i="87"/>
  <c r="F63" i="87" s="1"/>
  <c r="E63" i="12" s="1"/>
  <c r="C62" i="87"/>
  <c r="F62" i="87" s="1"/>
  <c r="E62" i="12" s="1"/>
  <c r="C61" i="87"/>
  <c r="F61" i="87" s="1"/>
  <c r="E61" i="12" s="1"/>
  <c r="C60" i="87"/>
  <c r="F60" i="87" s="1"/>
  <c r="E60" i="12" s="1"/>
  <c r="C59" i="87"/>
  <c r="F59" i="87" s="1"/>
  <c r="E59" i="12" s="1"/>
  <c r="C58" i="87"/>
  <c r="F58" i="87" s="1"/>
  <c r="E58" i="12" s="1"/>
  <c r="C57" i="87"/>
  <c r="F57" i="87" s="1"/>
  <c r="E57" i="12" s="1"/>
  <c r="C56" i="87"/>
  <c r="F56" i="87" s="1"/>
  <c r="E56" i="12" s="1"/>
  <c r="C55" i="87"/>
  <c r="F55" i="87" s="1"/>
  <c r="E55" i="12" s="1"/>
  <c r="C53" i="87"/>
  <c r="F53" i="87" s="1"/>
  <c r="E53" i="12" s="1"/>
  <c r="C52" i="87"/>
  <c r="F52" i="87" s="1"/>
  <c r="E52" i="12" s="1"/>
  <c r="C51" i="87"/>
  <c r="F51" i="87" s="1"/>
  <c r="E51" i="12" s="1"/>
  <c r="C50" i="87"/>
  <c r="F50" i="87" s="1"/>
  <c r="E50" i="12" s="1"/>
  <c r="C49" i="87"/>
  <c r="F49" i="87" s="1"/>
  <c r="E49" i="12" s="1"/>
  <c r="C48" i="87"/>
  <c r="F48" i="87" s="1"/>
  <c r="E48" i="12" s="1"/>
  <c r="C47" i="87"/>
  <c r="F47" i="87" s="1"/>
  <c r="E47" i="12" s="1"/>
  <c r="C45" i="87"/>
  <c r="F45" i="87" s="1"/>
  <c r="E45" i="12" s="1"/>
  <c r="C44" i="87"/>
  <c r="F44" i="87" s="1"/>
  <c r="E44" i="12" s="1"/>
  <c r="C43" i="87"/>
  <c r="F43" i="87" s="1"/>
  <c r="E43" i="12" s="1"/>
  <c r="C42" i="87"/>
  <c r="F42" i="87" s="1"/>
  <c r="E42" i="12" s="1"/>
  <c r="C41" i="87"/>
  <c r="F41" i="87" s="1"/>
  <c r="E41" i="12" s="1"/>
  <c r="C40" i="87"/>
  <c r="F40" i="87" s="1"/>
  <c r="E40" i="12" s="1"/>
  <c r="C39" i="87"/>
  <c r="F39" i="87" s="1"/>
  <c r="E39" i="12" s="1"/>
  <c r="C38" i="87"/>
  <c r="F38" i="87" s="1"/>
  <c r="E38" i="12" s="1"/>
  <c r="C36" i="87"/>
  <c r="F36" i="87" s="1"/>
  <c r="E36" i="12" s="1"/>
  <c r="C35" i="87"/>
  <c r="F35" i="87" s="1"/>
  <c r="E35" i="12" s="1"/>
  <c r="C34" i="87"/>
  <c r="F34" i="87" s="1"/>
  <c r="E34" i="12" s="1"/>
  <c r="C33" i="87"/>
  <c r="F33" i="87" s="1"/>
  <c r="E33" i="12" s="1"/>
  <c r="C32" i="87"/>
  <c r="F32" i="87" s="1"/>
  <c r="E32" i="12" s="1"/>
  <c r="C31" i="87"/>
  <c r="F31" i="87" s="1"/>
  <c r="E31" i="12" s="1"/>
  <c r="C30" i="87"/>
  <c r="F30" i="87" s="1"/>
  <c r="E30" i="12" s="1"/>
  <c r="C29" i="87"/>
  <c r="F29" i="87" s="1"/>
  <c r="E29" i="12" s="1"/>
  <c r="C28" i="87"/>
  <c r="F28" i="87" s="1"/>
  <c r="E28" i="12" s="1"/>
  <c r="C27" i="87"/>
  <c r="F27" i="87" s="1"/>
  <c r="E27" i="12" s="1"/>
  <c r="C26" i="87"/>
  <c r="F26" i="87" s="1"/>
  <c r="E26" i="12" s="1"/>
  <c r="C24" i="87"/>
  <c r="F24" i="87" s="1"/>
  <c r="E24" i="12" s="1"/>
  <c r="C23" i="87"/>
  <c r="F23" i="87" s="1"/>
  <c r="E23" i="12" s="1"/>
  <c r="C22" i="87"/>
  <c r="F22" i="87" s="1"/>
  <c r="E22" i="12" s="1"/>
  <c r="C21" i="87"/>
  <c r="F21" i="87" s="1"/>
  <c r="E21" i="12" s="1"/>
  <c r="C20" i="87"/>
  <c r="F20" i="87" s="1"/>
  <c r="E20" i="12" s="1"/>
  <c r="C19" i="87"/>
  <c r="F19" i="87" s="1"/>
  <c r="E19" i="12" s="1"/>
  <c r="C18" i="87"/>
  <c r="F18" i="87" s="1"/>
  <c r="E18" i="12" s="1"/>
  <c r="C17" i="87"/>
  <c r="F17" i="87" s="1"/>
  <c r="E17" i="12" s="1"/>
  <c r="C16" i="87"/>
  <c r="F16" i="87" s="1"/>
  <c r="E16" i="12" s="1"/>
  <c r="C15" i="87"/>
  <c r="F15" i="87" s="1"/>
  <c r="E15" i="12" s="1"/>
  <c r="C14" i="87"/>
  <c r="F14" i="87" s="1"/>
  <c r="E14" i="12" s="1"/>
  <c r="C13" i="87"/>
  <c r="F13" i="87" s="1"/>
  <c r="E13" i="12" s="1"/>
  <c r="C12" i="87"/>
  <c r="F12" i="87" s="1"/>
  <c r="E12" i="12" s="1"/>
  <c r="C11" i="87"/>
  <c r="F11" i="87" s="1"/>
  <c r="E11" i="12" s="1"/>
  <c r="C10" i="87"/>
  <c r="F10" i="87" s="1"/>
  <c r="E10" i="12" s="1"/>
  <c r="C9" i="87"/>
  <c r="F9" i="87" s="1"/>
  <c r="E9" i="12" s="1"/>
  <c r="C8" i="87"/>
  <c r="F8" i="87" s="1"/>
  <c r="E8" i="12" s="1"/>
  <c r="C7" i="87"/>
  <c r="F7" i="87" s="1"/>
  <c r="E7" i="12" s="1"/>
  <c r="G89" i="70"/>
  <c r="G90" i="70"/>
  <c r="G91" i="70"/>
  <c r="G95" i="70"/>
  <c r="G97" i="70"/>
  <c r="G98" i="70"/>
  <c r="G87" i="70"/>
  <c r="G85" i="70"/>
  <c r="G84" i="70"/>
  <c r="G81" i="70"/>
  <c r="G79" i="70" l="1"/>
  <c r="G75" i="70"/>
  <c r="G74" i="70"/>
  <c r="G72" i="70" l="1"/>
  <c r="G69" i="70"/>
  <c r="G67" i="70"/>
  <c r="G65" i="70" l="1"/>
  <c r="G64" i="70"/>
  <c r="G63" i="70"/>
  <c r="H60" i="70"/>
  <c r="G59" i="70"/>
  <c r="G58" i="70"/>
  <c r="G57" i="70"/>
  <c r="G56" i="70"/>
  <c r="G54" i="70" l="1"/>
  <c r="G53" i="70"/>
  <c r="G52" i="70"/>
  <c r="G51" i="70"/>
  <c r="G49" i="70"/>
  <c r="H49" i="70" s="1"/>
  <c r="G43" i="70"/>
  <c r="G42" i="70"/>
  <c r="G41" i="70"/>
  <c r="G40" i="70"/>
  <c r="G35" i="70"/>
  <c r="G34" i="70"/>
  <c r="G32" i="70"/>
  <c r="G30" i="70"/>
  <c r="G29" i="70"/>
  <c r="G28" i="70"/>
  <c r="G27" i="70"/>
  <c r="G23" i="70"/>
  <c r="G21" i="70"/>
  <c r="G17" i="70"/>
  <c r="G16" i="70"/>
  <c r="G15" i="70"/>
  <c r="G14" i="70"/>
  <c r="G13" i="70"/>
  <c r="C99" i="70"/>
  <c r="C98" i="70"/>
  <c r="C97" i="70"/>
  <c r="C96" i="70"/>
  <c r="C95" i="70"/>
  <c r="C94" i="70"/>
  <c r="C93" i="70"/>
  <c r="C92" i="70"/>
  <c r="C91" i="70"/>
  <c r="C90" i="70"/>
  <c r="C89" i="70"/>
  <c r="C87" i="70"/>
  <c r="C86" i="70"/>
  <c r="C85" i="70"/>
  <c r="C84" i="70"/>
  <c r="C83" i="70"/>
  <c r="C82" i="70"/>
  <c r="C81" i="70"/>
  <c r="C80" i="70"/>
  <c r="C79" i="70"/>
  <c r="C78" i="70"/>
  <c r="C76" i="70"/>
  <c r="C75" i="70"/>
  <c r="C74" i="70"/>
  <c r="C73" i="70"/>
  <c r="C72" i="70"/>
  <c r="C71" i="70"/>
  <c r="C69" i="70"/>
  <c r="C68" i="70"/>
  <c r="C67" i="70"/>
  <c r="C66" i="70"/>
  <c r="C65" i="70"/>
  <c r="C64" i="70"/>
  <c r="C63" i="70"/>
  <c r="C62" i="70"/>
  <c r="C61" i="70"/>
  <c r="C60" i="70"/>
  <c r="C59" i="70"/>
  <c r="C58" i="70"/>
  <c r="C57" i="70"/>
  <c r="C56" i="70"/>
  <c r="C54" i="70"/>
  <c r="C53" i="70"/>
  <c r="C52" i="70"/>
  <c r="C51" i="70"/>
  <c r="C50" i="70"/>
  <c r="C49" i="70"/>
  <c r="C48" i="70"/>
  <c r="C46" i="70"/>
  <c r="C45" i="70"/>
  <c r="C44" i="70"/>
  <c r="C43" i="70"/>
  <c r="C42" i="70"/>
  <c r="C41" i="70"/>
  <c r="C40" i="70"/>
  <c r="C39" i="70"/>
  <c r="C37" i="70"/>
  <c r="C36" i="70"/>
  <c r="C35" i="70"/>
  <c r="C34" i="70"/>
  <c r="C33" i="70"/>
  <c r="C32" i="70"/>
  <c r="C31" i="70"/>
  <c r="C30" i="70"/>
  <c r="C29" i="70"/>
  <c r="C28" i="70"/>
  <c r="C27" i="70"/>
  <c r="C25" i="70"/>
  <c r="C24" i="70"/>
  <c r="C23" i="70"/>
  <c r="C22" i="70"/>
  <c r="C21" i="70"/>
  <c r="C20" i="70"/>
  <c r="C19" i="70"/>
  <c r="C18" i="70"/>
  <c r="C17" i="70"/>
  <c r="C16" i="70"/>
  <c r="C15" i="70"/>
  <c r="C14" i="70"/>
  <c r="C13" i="70"/>
  <c r="C12" i="70"/>
  <c r="C11" i="70"/>
  <c r="C10" i="70"/>
  <c r="C9" i="70"/>
  <c r="C8" i="70"/>
  <c r="B5" i="70"/>
  <c r="G10" i="70"/>
  <c r="G9" i="70"/>
  <c r="G8" i="70" l="1"/>
  <c r="F99" i="70"/>
  <c r="F10" i="70"/>
  <c r="F11" i="70"/>
  <c r="F13" i="70"/>
  <c r="F14" i="70"/>
  <c r="F17" i="70"/>
  <c r="F20" i="70"/>
  <c r="F21" i="70"/>
  <c r="F22" i="70"/>
  <c r="F27" i="70"/>
  <c r="F28" i="70"/>
  <c r="F30" i="70"/>
  <c r="F32" i="70"/>
  <c r="F33" i="70"/>
  <c r="F34" i="70"/>
  <c r="F35" i="70"/>
  <c r="F37" i="70"/>
  <c r="F40" i="70"/>
  <c r="F42" i="70"/>
  <c r="F43" i="70"/>
  <c r="F45" i="70"/>
  <c r="F46" i="70"/>
  <c r="F48" i="70"/>
  <c r="F50" i="70"/>
  <c r="H50" i="70" s="1"/>
  <c r="F54" i="70"/>
  <c r="F57" i="70"/>
  <c r="F58" i="70"/>
  <c r="F61" i="70"/>
  <c r="F62" i="70"/>
  <c r="F63" i="70"/>
  <c r="F64" i="70"/>
  <c r="F65" i="70"/>
  <c r="F68" i="70"/>
  <c r="F69" i="70"/>
  <c r="F71" i="70"/>
  <c r="H71" i="70" s="1"/>
  <c r="F73" i="70"/>
  <c r="F74" i="70"/>
  <c r="F75" i="70"/>
  <c r="F78" i="70"/>
  <c r="F80" i="70"/>
  <c r="F82" i="70"/>
  <c r="F83" i="70"/>
  <c r="H83" i="70" s="1"/>
  <c r="F84" i="70"/>
  <c r="F85" i="70"/>
  <c r="F87" i="70"/>
  <c r="F89" i="70"/>
  <c r="F91" i="70"/>
  <c r="F92" i="70"/>
  <c r="F94" i="70"/>
  <c r="F95" i="70"/>
  <c r="F97" i="70"/>
  <c r="F98" i="70"/>
  <c r="F8" i="70"/>
  <c r="L96" i="78" l="1"/>
  <c r="K96" i="78"/>
  <c r="I96" i="78"/>
  <c r="M96" i="78" s="1"/>
  <c r="W96" i="78" s="1"/>
  <c r="Y96" i="78" s="1"/>
  <c r="I93" i="78"/>
  <c r="J93" i="78"/>
  <c r="F93" i="70" s="1"/>
  <c r="K93" i="78"/>
  <c r="L93" i="78"/>
  <c r="H93" i="78"/>
  <c r="I92" i="78"/>
  <c r="M92" i="78" s="1"/>
  <c r="P86" i="78"/>
  <c r="S86" i="78"/>
  <c r="J86" i="78"/>
  <c r="F86" i="70" l="1"/>
  <c r="M93" i="78"/>
  <c r="W93" i="78" s="1"/>
  <c r="Y93" i="78" s="1"/>
  <c r="V86" i="78"/>
  <c r="N92" i="78"/>
  <c r="W92" i="78"/>
  <c r="Y92" i="78" s="1"/>
  <c r="S85" i="78"/>
  <c r="V85" i="78" s="1"/>
  <c r="W85" i="78" s="1"/>
  <c r="Y85" i="78" s="1"/>
  <c r="N93" i="78" l="1"/>
  <c r="I60" i="78"/>
  <c r="M60" i="78" s="1"/>
  <c r="W60" i="78" s="1"/>
  <c r="Y60" i="78" s="1"/>
  <c r="I58" i="78" l="1"/>
  <c r="M58" i="78" s="1"/>
  <c r="W58" i="78" s="1"/>
  <c r="Y58" i="78" s="1"/>
  <c r="W25" i="78"/>
  <c r="Y25" i="78" s="1"/>
  <c r="K46" i="78" l="1"/>
  <c r="M46" i="78" s="1"/>
  <c r="W46" i="78" s="1"/>
  <c r="S43" i="78"/>
  <c r="V43" i="78" s="1"/>
  <c r="I43" i="78"/>
  <c r="M43" i="78" s="1"/>
  <c r="S41" i="78"/>
  <c r="P41" i="78"/>
  <c r="V41" i="78" s="1"/>
  <c r="L41" i="78"/>
  <c r="J41" i="78"/>
  <c r="F41" i="70" s="1"/>
  <c r="K41" i="78"/>
  <c r="I41" i="78"/>
  <c r="W43" i="78" l="1"/>
  <c r="M41" i="78"/>
  <c r="W41" i="78" s="1"/>
  <c r="I36" i="78"/>
  <c r="M36" i="78" s="1"/>
  <c r="S32" i="78"/>
  <c r="V32" i="78" s="1"/>
  <c r="W32" i="78" s="1"/>
  <c r="S30" i="78"/>
  <c r="V30" i="78" s="1"/>
  <c r="W30" i="78" s="1"/>
  <c r="S29" i="78"/>
  <c r="P29" i="78"/>
  <c r="V29" i="78" s="1"/>
  <c r="L29" i="78"/>
  <c r="K29" i="78"/>
  <c r="J29" i="78"/>
  <c r="F29" i="70" s="1"/>
  <c r="I29" i="78"/>
  <c r="H29" i="78"/>
  <c r="M29" i="78" l="1"/>
  <c r="W29" i="78" s="1"/>
  <c r="W36" i="78"/>
  <c r="N36" i="78"/>
  <c r="S24" i="78"/>
  <c r="K24" i="78"/>
  <c r="P24" i="78"/>
  <c r="J24" i="78"/>
  <c r="V24" i="78" l="1"/>
  <c r="F24" i="70"/>
  <c r="M24" i="78"/>
  <c r="N29" i="78"/>
  <c r="J19" i="78"/>
  <c r="K19" i="78"/>
  <c r="H19" i="78"/>
  <c r="M18" i="78"/>
  <c r="F16" i="70"/>
  <c r="I14" i="78"/>
  <c r="M14" i="78" s="1"/>
  <c r="N14" i="78" s="1"/>
  <c r="S9" i="78"/>
  <c r="V9" i="78" s="1"/>
  <c r="W9" i="78" s="1"/>
  <c r="Y9" i="78" s="1"/>
  <c r="F9" i="70"/>
  <c r="S8" i="78"/>
  <c r="V8" i="78" s="1"/>
  <c r="W8" i="78" s="1"/>
  <c r="W18" i="78" l="1"/>
  <c r="Y18" i="78" s="1"/>
  <c r="N18" i="78"/>
  <c r="M19" i="78"/>
  <c r="W19" i="78" s="1"/>
  <c r="Y19" i="78" s="1"/>
  <c r="W24" i="78"/>
  <c r="Y24" i="78" s="1"/>
  <c r="Y8" i="78"/>
  <c r="T63" i="78"/>
  <c r="I63" i="78"/>
  <c r="M63" i="78" s="1"/>
  <c r="P63" i="78"/>
  <c r="V63" i="78" s="1"/>
  <c r="S63" i="78"/>
  <c r="T56" i="78"/>
  <c r="S56" i="78"/>
  <c r="P56" i="78"/>
  <c r="V56" i="78" s="1"/>
  <c r="L56" i="78"/>
  <c r="K56" i="78"/>
  <c r="J56" i="78"/>
  <c r="F56" i="70" s="1"/>
  <c r="I56" i="78"/>
  <c r="M56" i="78" s="1"/>
  <c r="H56" i="78"/>
  <c r="S54" i="78"/>
  <c r="V54" i="78" s="1"/>
  <c r="W54" i="78" s="1"/>
  <c r="S53" i="78"/>
  <c r="V53" i="78" s="1"/>
  <c r="W53" i="78" s="1"/>
  <c r="N19" i="78" l="1"/>
  <c r="W63" i="78"/>
  <c r="W56" i="78"/>
  <c r="N56" i="78"/>
  <c r="Y37" i="78"/>
  <c r="S35" i="78"/>
  <c r="P35" i="78"/>
  <c r="V35" i="78" s="1"/>
  <c r="W35" i="78" s="1"/>
  <c r="Y35" i="78" l="1"/>
  <c r="S23" i="78"/>
  <c r="P23" i="78"/>
  <c r="L23" i="78"/>
  <c r="K23" i="78"/>
  <c r="J23" i="78"/>
  <c r="F23" i="70" s="1"/>
  <c r="I23" i="78"/>
  <c r="M23" i="78" s="1"/>
  <c r="H23" i="78"/>
  <c r="I64" i="78"/>
  <c r="M64" i="78" s="1"/>
  <c r="N64" i="78" s="1"/>
  <c r="S64" i="78"/>
  <c r="V64" i="78" s="1"/>
  <c r="V23" i="78" l="1"/>
  <c r="W64" i="78"/>
  <c r="N23" i="78"/>
  <c r="L86" i="78" l="1"/>
  <c r="M86" i="78" s="1"/>
  <c r="W86" i="78" s="1"/>
  <c r="Y86" i="78" s="1"/>
  <c r="I90" i="78"/>
  <c r="M90" i="78" s="1"/>
  <c r="S91" i="78"/>
  <c r="V91" i="78" s="1"/>
  <c r="W91" i="78" s="1"/>
  <c r="Y91" i="78" s="1"/>
  <c r="S94" i="78"/>
  <c r="V94" i="78" s="1"/>
  <c r="W94" i="78" s="1"/>
  <c r="Y94" i="78" s="1"/>
  <c r="I20" i="78"/>
  <c r="M20" i="78" s="1"/>
  <c r="N20" i="78" s="1"/>
  <c r="W90" i="78" l="1"/>
  <c r="Y90" i="78" s="1"/>
  <c r="N90" i="78"/>
  <c r="X15" i="78"/>
  <c r="L15" i="78"/>
  <c r="K15" i="78"/>
  <c r="J15" i="78"/>
  <c r="F15" i="70" s="1"/>
  <c r="I15" i="78"/>
  <c r="M15" i="78" s="1"/>
  <c r="W15" i="78" s="1"/>
  <c r="H15" i="78"/>
  <c r="W13" i="78"/>
  <c r="Y13" i="78" s="1"/>
  <c r="L12" i="78"/>
  <c r="K12" i="78"/>
  <c r="J12" i="78"/>
  <c r="F12" i="70" s="1"/>
  <c r="I12" i="78"/>
  <c r="M12" i="78" s="1"/>
  <c r="W12" i="78" s="1"/>
  <c r="Y12" i="78" s="1"/>
  <c r="H12" i="78"/>
  <c r="N15" i="78" l="1"/>
  <c r="N12" i="78"/>
  <c r="Y15" i="78"/>
  <c r="F32" i="61"/>
  <c r="F30" i="61"/>
  <c r="H35" i="70" l="1"/>
  <c r="H33" i="70"/>
  <c r="H20" i="70"/>
  <c r="H92" i="70"/>
  <c r="H76" i="70"/>
  <c r="H43" i="70" l="1"/>
  <c r="Y34" i="78"/>
  <c r="Y33" i="78"/>
  <c r="Y30" i="78"/>
  <c r="Y28" i="78"/>
  <c r="Y27" i="78"/>
  <c r="W21" i="78"/>
  <c r="Y21" i="78" s="1"/>
  <c r="Y69" i="78"/>
  <c r="W20" i="78"/>
  <c r="Y20" i="78" s="1"/>
  <c r="Y76" i="78" l="1"/>
  <c r="Y73" i="78"/>
  <c r="Y68" i="78"/>
  <c r="Y65" i="78"/>
  <c r="Y63" i="78"/>
  <c r="Y61" i="78"/>
  <c r="Y54" i="78"/>
  <c r="Y53" i="78"/>
  <c r="Y51" i="78"/>
  <c r="Y74" i="78" l="1"/>
  <c r="Y62" i="78"/>
  <c r="Y75" i="78"/>
  <c r="Y45" i="78"/>
  <c r="Y42" i="78"/>
  <c r="Y40" i="78"/>
  <c r="Y32" i="78" l="1"/>
  <c r="Y36" i="78" l="1"/>
  <c r="Y29" i="78" l="1"/>
  <c r="Y43" i="78" l="1"/>
  <c r="Y64" i="78"/>
  <c r="Y56" i="78"/>
  <c r="Y31" i="78"/>
  <c r="Y46" i="78"/>
  <c r="Y41" i="78"/>
  <c r="W14" i="78"/>
  <c r="Y14" i="78" s="1"/>
  <c r="Y67" i="78"/>
  <c r="Y57" i="78"/>
  <c r="W23" i="78" l="1"/>
  <c r="Y23" i="78" s="1"/>
  <c r="W16" i="78"/>
  <c r="Y16" i="78" s="1"/>
  <c r="H78" i="70"/>
  <c r="H95" i="70"/>
  <c r="H99" i="70"/>
  <c r="H98" i="70"/>
  <c r="H97" i="70"/>
  <c r="H94" i="70"/>
  <c r="H91" i="70"/>
  <c r="H89" i="70"/>
  <c r="H87" i="70"/>
  <c r="H85" i="70"/>
  <c r="H86" i="70" l="1"/>
  <c r="H93" i="70"/>
  <c r="H84" i="70"/>
  <c r="H82" i="70" l="1"/>
  <c r="H81" i="70"/>
  <c r="H80" i="70" l="1"/>
  <c r="H75" i="70"/>
  <c r="H74" i="70"/>
  <c r="H73" i="70"/>
  <c r="H72" i="70"/>
  <c r="H69" i="70" l="1"/>
  <c r="H68" i="70"/>
  <c r="G66" i="70"/>
  <c r="H66" i="70" s="1"/>
  <c r="H65" i="70" l="1"/>
  <c r="H64" i="70"/>
  <c r="H63" i="70"/>
  <c r="H62" i="70"/>
  <c r="H61" i="70"/>
  <c r="H58" i="70"/>
  <c r="H57" i="70"/>
  <c r="H54" i="70"/>
  <c r="H52" i="70"/>
  <c r="H56" i="70" l="1"/>
  <c r="H45" i="70"/>
  <c r="H42" i="70" l="1"/>
  <c r="H40" i="70"/>
  <c r="H37" i="70"/>
  <c r="H34" i="70"/>
  <c r="H41" i="70" l="1"/>
  <c r="H32" i="70"/>
  <c r="H30" i="70"/>
  <c r="H28" i="70"/>
  <c r="H27" i="70"/>
  <c r="H22" i="70"/>
  <c r="H21" i="70"/>
  <c r="H18" i="70"/>
  <c r="H17" i="70"/>
  <c r="H14" i="70"/>
  <c r="H13" i="70"/>
  <c r="H11" i="70"/>
  <c r="H10" i="70"/>
  <c r="H8" i="70"/>
  <c r="H23" i="70" l="1"/>
  <c r="H15" i="70"/>
  <c r="H24" i="70"/>
  <c r="H9" i="70"/>
  <c r="H16" i="70"/>
  <c r="H29" i="70"/>
  <c r="H12" i="70"/>
  <c r="B6" i="78" l="1"/>
  <c r="Z9" i="78" l="1"/>
  <c r="Z10" i="78"/>
  <c r="Z11" i="78"/>
  <c r="Z12" i="78"/>
  <c r="Z13" i="78"/>
  <c r="Z14" i="78"/>
  <c r="Z15" i="78"/>
  <c r="Z16" i="78"/>
  <c r="Z17" i="78"/>
  <c r="Z18" i="78"/>
  <c r="Z19" i="78"/>
  <c r="Z20" i="78"/>
  <c r="Z21" i="78"/>
  <c r="Z22" i="78"/>
  <c r="Z23" i="78"/>
  <c r="Z24" i="78"/>
  <c r="Z25" i="78"/>
  <c r="Z27" i="78"/>
  <c r="Z28" i="78"/>
  <c r="Z29" i="78"/>
  <c r="Z30" i="78"/>
  <c r="Z31" i="78"/>
  <c r="Z32" i="78"/>
  <c r="Z33" i="78"/>
  <c r="Z34" i="78"/>
  <c r="Z35" i="78"/>
  <c r="Z36" i="78"/>
  <c r="Z37" i="78"/>
  <c r="Z39" i="78"/>
  <c r="Z40" i="78"/>
  <c r="Z41" i="78"/>
  <c r="Z42" i="78"/>
  <c r="Z43" i="78"/>
  <c r="Z44" i="78"/>
  <c r="Z45" i="78"/>
  <c r="Z46" i="78"/>
  <c r="Z48" i="78"/>
  <c r="Z49" i="78"/>
  <c r="Z50" i="78"/>
  <c r="Z51" i="78"/>
  <c r="Z52" i="78"/>
  <c r="Z53" i="78"/>
  <c r="Z54" i="78"/>
  <c r="Z56" i="78"/>
  <c r="Z57" i="78"/>
  <c r="Z58" i="78"/>
  <c r="Z59" i="78"/>
  <c r="Z60" i="78"/>
  <c r="Z61" i="78"/>
  <c r="Z62" i="78"/>
  <c r="Z63" i="78"/>
  <c r="Z64" i="78"/>
  <c r="Z65" i="78"/>
  <c r="Z66" i="78"/>
  <c r="Z67" i="78"/>
  <c r="Z68" i="78"/>
  <c r="Z69" i="78"/>
  <c r="Z71" i="78"/>
  <c r="Z72" i="78"/>
  <c r="Z73" i="78"/>
  <c r="Z74" i="78"/>
  <c r="Z75" i="78"/>
  <c r="Z76" i="78"/>
  <c r="Z78" i="78"/>
  <c r="Z79" i="78"/>
  <c r="Z80" i="78"/>
  <c r="Z81" i="78"/>
  <c r="Z82" i="78"/>
  <c r="Z83" i="78"/>
  <c r="Z84" i="78"/>
  <c r="Z85" i="78"/>
  <c r="Z86" i="78"/>
  <c r="Z87" i="78"/>
  <c r="Z89" i="78"/>
  <c r="Z90" i="78"/>
  <c r="Z91" i="78"/>
  <c r="Z92" i="78"/>
  <c r="Z93" i="78"/>
  <c r="Z94" i="78"/>
  <c r="Z95" i="78"/>
  <c r="Z96" i="78"/>
  <c r="Z97" i="78"/>
  <c r="Z98" i="78"/>
  <c r="Z99" i="78"/>
  <c r="F8" i="61"/>
  <c r="F9" i="61"/>
  <c r="F10" i="61"/>
  <c r="F11" i="61"/>
  <c r="F12" i="61"/>
  <c r="F13" i="61"/>
  <c r="F14" i="61"/>
  <c r="F15" i="61"/>
  <c r="F16" i="61"/>
  <c r="F17" i="61"/>
  <c r="F18" i="61"/>
  <c r="F19" i="61"/>
  <c r="F20" i="61"/>
  <c r="F21" i="61"/>
  <c r="F22" i="61"/>
  <c r="F23" i="61"/>
  <c r="F24" i="61"/>
  <c r="F26" i="61"/>
  <c r="F27" i="61"/>
  <c r="F28" i="61"/>
  <c r="F29" i="61"/>
  <c r="F31" i="61"/>
  <c r="F33" i="61"/>
  <c r="F34" i="61"/>
  <c r="F35" i="61"/>
  <c r="F36" i="61"/>
  <c r="F38" i="61"/>
  <c r="F39" i="61"/>
  <c r="F40" i="61"/>
  <c r="F41" i="61"/>
  <c r="F42" i="61"/>
  <c r="F43" i="61"/>
  <c r="F44" i="61"/>
  <c r="F45" i="61"/>
  <c r="F47" i="61"/>
  <c r="F48" i="61"/>
  <c r="F49" i="61"/>
  <c r="F50" i="61"/>
  <c r="F51" i="61"/>
  <c r="F52" i="61"/>
  <c r="F53" i="61"/>
  <c r="F55" i="61"/>
  <c r="F56" i="61"/>
  <c r="F57" i="61"/>
  <c r="F58" i="61"/>
  <c r="F59" i="61"/>
  <c r="F60" i="61"/>
  <c r="F61" i="61"/>
  <c r="F62" i="61"/>
  <c r="F63" i="61"/>
  <c r="F64" i="61"/>
  <c r="F65" i="61"/>
  <c r="F66" i="61"/>
  <c r="F67" i="61"/>
  <c r="F68" i="61"/>
  <c r="F70" i="61"/>
  <c r="F71" i="61"/>
  <c r="F72" i="61"/>
  <c r="F73" i="61"/>
  <c r="F74" i="61"/>
  <c r="F75" i="61"/>
  <c r="F77" i="61"/>
  <c r="F78" i="61"/>
  <c r="F79" i="61"/>
  <c r="F80" i="61"/>
  <c r="F81" i="61"/>
  <c r="F82" i="61"/>
  <c r="F83" i="61"/>
  <c r="F84" i="61"/>
  <c r="F85" i="61"/>
  <c r="F86" i="61"/>
  <c r="F88" i="61"/>
  <c r="F89" i="61"/>
  <c r="F90" i="61"/>
  <c r="F91" i="61"/>
  <c r="F92" i="61"/>
  <c r="F93" i="61"/>
  <c r="F94" i="61"/>
  <c r="F95" i="61"/>
  <c r="F96" i="61"/>
  <c r="F97" i="61"/>
  <c r="F98" i="61"/>
  <c r="Z8" i="78" l="1"/>
  <c r="B3" i="60"/>
  <c r="I45" i="12" l="1"/>
  <c r="F7" i="61" l="1"/>
  <c r="B3" i="78" l="1"/>
  <c r="C7" i="61"/>
  <c r="B3" i="70"/>
  <c r="B3" i="61"/>
  <c r="B6" i="70"/>
  <c r="B4" i="70"/>
  <c r="B5" i="78"/>
  <c r="B4" i="78"/>
  <c r="B5" i="61"/>
  <c r="B4" i="61"/>
  <c r="B5" i="60"/>
  <c r="B4" i="60"/>
  <c r="E76" i="70"/>
  <c r="E31" i="70"/>
  <c r="C8" i="60"/>
  <c r="C9" i="60"/>
  <c r="C10" i="60"/>
  <c r="C11" i="60"/>
  <c r="C12" i="60"/>
  <c r="C13" i="60"/>
  <c r="C14" i="60"/>
  <c r="C15" i="60"/>
  <c r="C16" i="60"/>
  <c r="C17" i="60"/>
  <c r="C18" i="60"/>
  <c r="C19" i="60"/>
  <c r="C20" i="60"/>
  <c r="C21" i="60"/>
  <c r="C22" i="60"/>
  <c r="C23" i="60"/>
  <c r="C24" i="60"/>
  <c r="C26" i="60"/>
  <c r="C27" i="60"/>
  <c r="C28" i="60"/>
  <c r="C29" i="60"/>
  <c r="C30" i="60"/>
  <c r="C31" i="60"/>
  <c r="C32" i="60"/>
  <c r="C33" i="60"/>
  <c r="C34" i="60"/>
  <c r="C35" i="60"/>
  <c r="C36" i="60"/>
  <c r="C38" i="60"/>
  <c r="C39" i="60"/>
  <c r="C40" i="60"/>
  <c r="C41" i="60"/>
  <c r="C42" i="60"/>
  <c r="C43" i="60"/>
  <c r="C44" i="60"/>
  <c r="C45" i="60"/>
  <c r="C47" i="60"/>
  <c r="C48" i="60"/>
  <c r="C49" i="60"/>
  <c r="C50" i="60"/>
  <c r="C51" i="60"/>
  <c r="C52" i="60"/>
  <c r="C53" i="60"/>
  <c r="C55" i="60"/>
  <c r="C56" i="60"/>
  <c r="C57" i="60"/>
  <c r="C58" i="60"/>
  <c r="C59" i="60"/>
  <c r="C60" i="60"/>
  <c r="C61" i="60"/>
  <c r="C62" i="60"/>
  <c r="C63" i="60"/>
  <c r="C64" i="60"/>
  <c r="C65" i="60"/>
  <c r="C66" i="60"/>
  <c r="C67" i="60"/>
  <c r="C68" i="60"/>
  <c r="C70" i="60"/>
  <c r="C71" i="60"/>
  <c r="C72" i="60"/>
  <c r="C73" i="60"/>
  <c r="C74" i="60"/>
  <c r="C75" i="60"/>
  <c r="C77" i="60"/>
  <c r="C88" i="60"/>
  <c r="C78" i="60"/>
  <c r="C79" i="60"/>
  <c r="C80" i="60"/>
  <c r="C90" i="60"/>
  <c r="C81" i="60"/>
  <c r="C82" i="60"/>
  <c r="C83" i="60"/>
  <c r="C84" i="60"/>
  <c r="C85" i="60"/>
  <c r="C86" i="60"/>
  <c r="C89" i="60"/>
  <c r="C91" i="60"/>
  <c r="C92" i="60"/>
  <c r="C93" i="60"/>
  <c r="C94" i="60"/>
  <c r="C95" i="60"/>
  <c r="C96" i="60"/>
  <c r="C97" i="60"/>
  <c r="C98" i="60"/>
  <c r="E8" i="70"/>
  <c r="E27" i="70"/>
  <c r="E28" i="70"/>
  <c r="E29" i="70"/>
  <c r="E30" i="70"/>
  <c r="E32" i="70"/>
  <c r="E33" i="70"/>
  <c r="E34" i="70"/>
  <c r="E35" i="70"/>
  <c r="I35" i="12"/>
  <c r="E37" i="70"/>
  <c r="E39" i="70"/>
  <c r="E40" i="70"/>
  <c r="E41" i="70"/>
  <c r="E42" i="70"/>
  <c r="E43" i="70"/>
  <c r="E44" i="70"/>
  <c r="E45" i="70"/>
  <c r="E48" i="70"/>
  <c r="E49" i="70"/>
  <c r="E50" i="70"/>
  <c r="E51" i="70"/>
  <c r="E52" i="70"/>
  <c r="E53" i="70"/>
  <c r="E54" i="70"/>
  <c r="E56" i="70"/>
  <c r="E57" i="70"/>
  <c r="E58" i="70"/>
  <c r="E59" i="70"/>
  <c r="E60" i="70"/>
  <c r="E61" i="70"/>
  <c r="E62" i="70"/>
  <c r="E63" i="70"/>
  <c r="E64" i="70"/>
  <c r="E65" i="70"/>
  <c r="E66" i="70"/>
  <c r="E67" i="70"/>
  <c r="E68" i="70"/>
  <c r="E69" i="70"/>
  <c r="E71" i="70"/>
  <c r="E72" i="70"/>
  <c r="E73" i="70"/>
  <c r="E74" i="70"/>
  <c r="E75" i="70"/>
  <c r="E78" i="70"/>
  <c r="E89" i="70"/>
  <c r="E79" i="70"/>
  <c r="E80" i="70"/>
  <c r="E81" i="70"/>
  <c r="E91" i="70"/>
  <c r="E82" i="70"/>
  <c r="E83" i="70"/>
  <c r="E84" i="70"/>
  <c r="E85" i="70"/>
  <c r="E87" i="70"/>
  <c r="E93" i="70"/>
  <c r="E94" i="70"/>
  <c r="E95" i="70"/>
  <c r="E96" i="70"/>
  <c r="E97" i="70"/>
  <c r="E98" i="70"/>
  <c r="E99" i="70"/>
  <c r="E9" i="70"/>
  <c r="E10" i="70"/>
  <c r="E11" i="70"/>
  <c r="E12" i="70"/>
  <c r="E13" i="70"/>
  <c r="E14" i="70"/>
  <c r="E15" i="70"/>
  <c r="E16" i="70"/>
  <c r="E17" i="70"/>
  <c r="E18" i="70"/>
  <c r="E19" i="70"/>
  <c r="E20" i="70"/>
  <c r="E21" i="70"/>
  <c r="E22" i="70"/>
  <c r="E23" i="70"/>
  <c r="E24" i="70"/>
  <c r="E86" i="70"/>
  <c r="E90" i="70"/>
  <c r="E92" i="70"/>
  <c r="AP110" i="78"/>
  <c r="AP112" i="78"/>
  <c r="C8" i="61"/>
  <c r="C9" i="61"/>
  <c r="C10" i="61"/>
  <c r="C11" i="61"/>
  <c r="C12" i="61"/>
  <c r="C13" i="61"/>
  <c r="C14" i="61"/>
  <c r="C15" i="61"/>
  <c r="C16" i="61"/>
  <c r="C17" i="61"/>
  <c r="C18" i="61"/>
  <c r="C19" i="61"/>
  <c r="C20" i="61"/>
  <c r="C21" i="61"/>
  <c r="C22" i="61"/>
  <c r="C23" i="61"/>
  <c r="C24" i="61"/>
  <c r="C26" i="61"/>
  <c r="C27" i="61"/>
  <c r="C28" i="61"/>
  <c r="C29" i="61"/>
  <c r="C30" i="61"/>
  <c r="C31" i="61"/>
  <c r="C32" i="61"/>
  <c r="C33" i="61"/>
  <c r="C34" i="61"/>
  <c r="C35" i="61"/>
  <c r="C36" i="61"/>
  <c r="C38" i="61"/>
  <c r="C39" i="61"/>
  <c r="C40" i="61"/>
  <c r="C41" i="61"/>
  <c r="C42" i="61"/>
  <c r="C43" i="61"/>
  <c r="C44" i="61"/>
  <c r="C45" i="61"/>
  <c r="C47" i="61"/>
  <c r="C48" i="61"/>
  <c r="C49" i="61"/>
  <c r="C50" i="61"/>
  <c r="C51" i="61"/>
  <c r="C52" i="61"/>
  <c r="C53" i="61"/>
  <c r="C55" i="61"/>
  <c r="C56" i="61"/>
  <c r="C57" i="61"/>
  <c r="C58" i="61"/>
  <c r="C59" i="61"/>
  <c r="C60" i="61"/>
  <c r="C61" i="61"/>
  <c r="C62" i="61"/>
  <c r="C63" i="61"/>
  <c r="C64" i="61"/>
  <c r="C65" i="61"/>
  <c r="C66" i="61"/>
  <c r="C67" i="61"/>
  <c r="C68" i="61"/>
  <c r="C70" i="61"/>
  <c r="C71" i="61"/>
  <c r="C72" i="61"/>
  <c r="C73" i="61"/>
  <c r="C74" i="61"/>
  <c r="C75" i="61"/>
  <c r="C77" i="61"/>
  <c r="C88" i="61"/>
  <c r="C78" i="61"/>
  <c r="C79" i="61"/>
  <c r="C80" i="61"/>
  <c r="C90" i="61"/>
  <c r="C81" i="61"/>
  <c r="C82" i="61"/>
  <c r="C83" i="61"/>
  <c r="C84" i="61"/>
  <c r="C85" i="61"/>
  <c r="C86" i="61"/>
  <c r="C89" i="61"/>
  <c r="C91" i="61"/>
  <c r="C92" i="61"/>
  <c r="C93" i="61"/>
  <c r="C94" i="61"/>
  <c r="C95" i="61"/>
  <c r="C96" i="61"/>
  <c r="C97" i="61"/>
  <c r="C98" i="61"/>
  <c r="C7" i="60"/>
  <c r="D5" i="12"/>
  <c r="F18" i="12" l="1"/>
  <c r="F10" i="12"/>
  <c r="F7" i="12"/>
  <c r="C35" i="12"/>
  <c r="C24" i="12"/>
  <c r="C45" i="12"/>
  <c r="F22" i="12"/>
  <c r="F71" i="12"/>
  <c r="F31" i="12"/>
  <c r="F52" i="12"/>
  <c r="C8" i="78"/>
  <c r="E8" i="78" s="1"/>
  <c r="C10" i="12"/>
  <c r="C18" i="12"/>
  <c r="C28" i="12"/>
  <c r="C38" i="12"/>
  <c r="C48" i="12"/>
  <c r="C57" i="12"/>
  <c r="C65" i="12"/>
  <c r="C74" i="12"/>
  <c r="C83" i="12"/>
  <c r="C92" i="12"/>
  <c r="C7" i="12"/>
  <c r="C58" i="12"/>
  <c r="C75" i="12"/>
  <c r="C84" i="12"/>
  <c r="C93" i="12"/>
  <c r="C12" i="12"/>
  <c r="C30" i="12"/>
  <c r="C50" i="12"/>
  <c r="C67" i="12"/>
  <c r="C85" i="12"/>
  <c r="C11" i="12"/>
  <c r="C19" i="12"/>
  <c r="C29" i="12"/>
  <c r="C39" i="12"/>
  <c r="C49" i="12"/>
  <c r="C66" i="12"/>
  <c r="C40" i="12"/>
  <c r="C77" i="12"/>
  <c r="C94" i="12"/>
  <c r="C13" i="12"/>
  <c r="C31" i="12"/>
  <c r="C41" i="12"/>
  <c r="C60" i="12"/>
  <c r="C78" i="12"/>
  <c r="C95" i="12"/>
  <c r="C14" i="12"/>
  <c r="C22" i="12"/>
  <c r="C32" i="12"/>
  <c r="C52" i="12"/>
  <c r="C70" i="12"/>
  <c r="C88" i="12"/>
  <c r="C33" i="12"/>
  <c r="C62" i="12"/>
  <c r="C89" i="12"/>
  <c r="C34" i="12"/>
  <c r="C55" i="12"/>
  <c r="C81" i="12"/>
  <c r="C9" i="12"/>
  <c r="C36" i="12"/>
  <c r="C64" i="12"/>
  <c r="C91" i="12"/>
  <c r="C20" i="12"/>
  <c r="C59" i="12"/>
  <c r="C21" i="12"/>
  <c r="C51" i="12"/>
  <c r="C68" i="12"/>
  <c r="C86" i="12"/>
  <c r="C42" i="12"/>
  <c r="C61" i="12"/>
  <c r="C79" i="12"/>
  <c r="C96" i="12"/>
  <c r="C15" i="12"/>
  <c r="C23" i="12"/>
  <c r="C43" i="12"/>
  <c r="C71" i="12"/>
  <c r="C80" i="12"/>
  <c r="C97" i="12"/>
  <c r="C16" i="12"/>
  <c r="C26" i="12"/>
  <c r="C44" i="12"/>
  <c r="C63" i="12"/>
  <c r="C90" i="12"/>
  <c r="C17" i="12"/>
  <c r="C47" i="12"/>
  <c r="C73" i="12"/>
  <c r="C8" i="12"/>
  <c r="C53" i="12"/>
  <c r="C72" i="12"/>
  <c r="C98" i="12"/>
  <c r="C27" i="12"/>
  <c r="C56" i="12"/>
  <c r="C82" i="12"/>
  <c r="C9" i="78"/>
  <c r="E9" i="78" s="1"/>
  <c r="C13" i="78"/>
  <c r="E13" i="78" s="1"/>
  <c r="C17" i="78"/>
  <c r="E17" i="78" s="1"/>
  <c r="C21" i="78"/>
  <c r="E21" i="78" s="1"/>
  <c r="C25" i="78"/>
  <c r="E25" i="78" s="1"/>
  <c r="C29" i="78"/>
  <c r="E29" i="78" s="1"/>
  <c r="C33" i="78"/>
  <c r="E33" i="78" s="1"/>
  <c r="C37" i="78"/>
  <c r="E37" i="78" s="1"/>
  <c r="C41" i="78"/>
  <c r="E41" i="78" s="1"/>
  <c r="C45" i="78"/>
  <c r="E45" i="78" s="1"/>
  <c r="C49" i="78"/>
  <c r="E49" i="78" s="1"/>
  <c r="C53" i="78"/>
  <c r="E53" i="78" s="1"/>
  <c r="C57" i="78"/>
  <c r="E57" i="78" s="1"/>
  <c r="C61" i="78"/>
  <c r="E61" i="78" s="1"/>
  <c r="C65" i="78"/>
  <c r="E65" i="78" s="1"/>
  <c r="C69" i="78"/>
  <c r="E69" i="78" s="1"/>
  <c r="C73" i="78"/>
  <c r="E73" i="78" s="1"/>
  <c r="C81" i="78"/>
  <c r="E81" i="78" s="1"/>
  <c r="C85" i="78"/>
  <c r="E85" i="78" s="1"/>
  <c r="C89" i="78"/>
  <c r="E89" i="78" s="1"/>
  <c r="C93" i="78"/>
  <c r="E93" i="78" s="1"/>
  <c r="C97" i="78"/>
  <c r="E97" i="78" s="1"/>
  <c r="C14" i="78"/>
  <c r="E14" i="78" s="1"/>
  <c r="C34" i="78"/>
  <c r="E34" i="78" s="1"/>
  <c r="C42" i="78"/>
  <c r="E42" i="78" s="1"/>
  <c r="C50" i="78"/>
  <c r="E50" i="78" s="1"/>
  <c r="C58" i="78"/>
  <c r="E58" i="78" s="1"/>
  <c r="C66" i="78"/>
  <c r="E66" i="78" s="1"/>
  <c r="C74" i="78"/>
  <c r="E74" i="78" s="1"/>
  <c r="C82" i="78"/>
  <c r="E82" i="78" s="1"/>
  <c r="C90" i="78"/>
  <c r="E90" i="78" s="1"/>
  <c r="C98" i="78"/>
  <c r="E98" i="78" s="1"/>
  <c r="C10" i="78"/>
  <c r="E10" i="78" s="1"/>
  <c r="C11" i="78"/>
  <c r="E11" i="78" s="1"/>
  <c r="C15" i="78"/>
  <c r="E15" i="78" s="1"/>
  <c r="C19" i="78"/>
  <c r="E19" i="78" s="1"/>
  <c r="C23" i="78"/>
  <c r="E23" i="78" s="1"/>
  <c r="C27" i="78"/>
  <c r="E27" i="78" s="1"/>
  <c r="C31" i="78"/>
  <c r="E31" i="78" s="1"/>
  <c r="C35" i="78"/>
  <c r="E35" i="78" s="1"/>
  <c r="C39" i="78"/>
  <c r="E39" i="78" s="1"/>
  <c r="C43" i="78"/>
  <c r="E43" i="78" s="1"/>
  <c r="C51" i="78"/>
  <c r="E51" i="78" s="1"/>
  <c r="C59" i="78"/>
  <c r="E59" i="78" s="1"/>
  <c r="C63" i="78"/>
  <c r="E63" i="78" s="1"/>
  <c r="C67" i="78"/>
  <c r="E67" i="78" s="1"/>
  <c r="C71" i="78"/>
  <c r="E71" i="78" s="1"/>
  <c r="C75" i="78"/>
  <c r="E75" i="78" s="1"/>
  <c r="C79" i="78"/>
  <c r="E79" i="78" s="1"/>
  <c r="C83" i="78"/>
  <c r="E83" i="78" s="1"/>
  <c r="C87" i="78"/>
  <c r="E87" i="78" s="1"/>
  <c r="C91" i="78"/>
  <c r="E91" i="78" s="1"/>
  <c r="C95" i="78"/>
  <c r="E95" i="78" s="1"/>
  <c r="C99" i="78"/>
  <c r="E99" i="78" s="1"/>
  <c r="C12" i="78"/>
  <c r="E12" i="78" s="1"/>
  <c r="C16" i="78"/>
  <c r="E16" i="78" s="1"/>
  <c r="C20" i="78"/>
  <c r="E20" i="78" s="1"/>
  <c r="C24" i="78"/>
  <c r="E24" i="78" s="1"/>
  <c r="C28" i="78"/>
  <c r="E28" i="78" s="1"/>
  <c r="C32" i="78"/>
  <c r="E32" i="78" s="1"/>
  <c r="C36" i="78"/>
  <c r="E36" i="78" s="1"/>
  <c r="C40" i="78"/>
  <c r="E40" i="78" s="1"/>
  <c r="C44" i="78"/>
  <c r="E44" i="78" s="1"/>
  <c r="C48" i="78"/>
  <c r="E48" i="78" s="1"/>
  <c r="C52" i="78"/>
  <c r="E52" i="78" s="1"/>
  <c r="C56" i="78"/>
  <c r="E56" i="78" s="1"/>
  <c r="C60" i="78"/>
  <c r="E60" i="78" s="1"/>
  <c r="C64" i="78"/>
  <c r="E64" i="78" s="1"/>
  <c r="C68" i="78"/>
  <c r="E68" i="78" s="1"/>
  <c r="C72" i="78"/>
  <c r="E72" i="78" s="1"/>
  <c r="C76" i="78"/>
  <c r="E76" i="78" s="1"/>
  <c r="C80" i="78"/>
  <c r="E80" i="78" s="1"/>
  <c r="C84" i="78"/>
  <c r="E84" i="78" s="1"/>
  <c r="C92" i="78"/>
  <c r="E92" i="78" s="1"/>
  <c r="C96" i="78"/>
  <c r="E96" i="78" s="1"/>
  <c r="C18" i="78"/>
  <c r="E18" i="78" s="1"/>
  <c r="C22" i="78"/>
  <c r="E22" i="78" s="1"/>
  <c r="C30" i="78"/>
  <c r="E30" i="78" s="1"/>
  <c r="C46" i="78"/>
  <c r="E46" i="78" s="1"/>
  <c r="C54" i="78"/>
  <c r="E54" i="78" s="1"/>
  <c r="C62" i="78"/>
  <c r="E62" i="78" s="1"/>
  <c r="C78" i="78"/>
  <c r="E78" i="78" s="1"/>
  <c r="C86" i="78"/>
  <c r="E86" i="78" s="1"/>
  <c r="C94" i="78"/>
  <c r="E94" i="78" s="1"/>
  <c r="G31" i="12"/>
  <c r="F82" i="12"/>
  <c r="F27" i="12"/>
  <c r="F35" i="12"/>
  <c r="F9" i="12"/>
  <c r="F70" i="12"/>
  <c r="F81" i="12"/>
  <c r="F85" i="12"/>
  <c r="I97" i="12"/>
  <c r="I53" i="12"/>
  <c r="I89" i="12"/>
  <c r="I96" i="12"/>
  <c r="I79" i="12"/>
  <c r="I48" i="12"/>
  <c r="I28" i="12"/>
  <c r="I20" i="12"/>
  <c r="I86" i="12"/>
  <c r="I51" i="12"/>
  <c r="I75" i="12"/>
  <c r="I93" i="12"/>
  <c r="I58" i="12"/>
  <c r="I39" i="12"/>
  <c r="I84" i="12"/>
  <c r="G16" i="12"/>
  <c r="G27" i="12"/>
  <c r="F79" i="12"/>
  <c r="F75" i="12"/>
  <c r="G94" i="12"/>
  <c r="G81" i="12"/>
  <c r="G78" i="12"/>
  <c r="F59" i="12"/>
  <c r="F45" i="12"/>
  <c r="F95" i="12"/>
  <c r="F12" i="12"/>
  <c r="F61" i="12"/>
  <c r="G48" i="12"/>
  <c r="G51" i="12"/>
  <c r="G52" i="12"/>
  <c r="G49" i="12"/>
  <c r="G43" i="12"/>
  <c r="G57" i="12"/>
  <c r="G29" i="12"/>
  <c r="G38" i="12"/>
  <c r="G91" i="12"/>
  <c r="G92" i="12"/>
  <c r="G86" i="12"/>
  <c r="G34" i="12"/>
  <c r="I71" i="12"/>
  <c r="I83" i="12"/>
  <c r="G68" i="12"/>
  <c r="G36" i="12"/>
  <c r="G89" i="12"/>
  <c r="G35" i="12"/>
  <c r="F98" i="12"/>
  <c r="F96" i="12"/>
  <c r="F86" i="12"/>
  <c r="F41" i="12"/>
  <c r="F16" i="12"/>
  <c r="F13" i="12"/>
  <c r="G98" i="12"/>
  <c r="G55" i="12"/>
  <c r="G41" i="12"/>
  <c r="G22" i="12"/>
  <c r="G11" i="12"/>
  <c r="F63" i="12"/>
  <c r="G28" i="12"/>
  <c r="G42" i="12"/>
  <c r="G32" i="12"/>
  <c r="F11" i="12"/>
  <c r="F8" i="12"/>
  <c r="I90" i="12"/>
  <c r="I26" i="12"/>
  <c r="I88" i="12"/>
  <c r="I44" i="12"/>
  <c r="I85" i="12"/>
  <c r="I64" i="12"/>
  <c r="I65" i="12"/>
  <c r="I82" i="12"/>
  <c r="I98" i="12"/>
  <c r="I77" i="12"/>
  <c r="I61" i="12"/>
  <c r="I59" i="12"/>
  <c r="I24" i="12"/>
  <c r="I30" i="12"/>
  <c r="I27" i="12"/>
  <c r="I22" i="12"/>
  <c r="I19" i="12"/>
  <c r="I13" i="12"/>
  <c r="I12" i="12"/>
  <c r="G13" i="12"/>
  <c r="G40" i="12"/>
  <c r="G45" i="12"/>
  <c r="G59" i="12"/>
  <c r="G79" i="12"/>
  <c r="G70" i="12"/>
  <c r="G66" i="12"/>
  <c r="G63" i="12"/>
  <c r="G60" i="12"/>
  <c r="G23" i="12"/>
  <c r="G18" i="12"/>
  <c r="G17" i="12"/>
  <c r="G56" i="12"/>
  <c r="G62" i="12"/>
  <c r="G53" i="12"/>
  <c r="G26" i="12"/>
  <c r="G20" i="12"/>
  <c r="G90" i="12"/>
  <c r="G15" i="12"/>
  <c r="G14" i="12"/>
  <c r="G67" i="12"/>
  <c r="G75" i="12"/>
  <c r="G72" i="12"/>
  <c r="G24" i="12"/>
  <c r="G88" i="12"/>
  <c r="G74" i="12"/>
  <c r="G71" i="12"/>
  <c r="G95" i="12"/>
  <c r="G83" i="12"/>
  <c r="G84" i="12"/>
  <c r="G47" i="12"/>
  <c r="G33" i="12"/>
  <c r="G9" i="12"/>
  <c r="G7" i="12"/>
  <c r="F30" i="12"/>
  <c r="F60" i="12"/>
  <c r="F50" i="12"/>
  <c r="F93" i="12"/>
  <c r="F21" i="12"/>
  <c r="F42" i="12"/>
  <c r="F51" i="12"/>
  <c r="F72" i="12"/>
  <c r="F17" i="12"/>
  <c r="F53" i="12"/>
  <c r="F77" i="12"/>
  <c r="F49" i="12"/>
  <c r="F38" i="12"/>
  <c r="F73" i="12"/>
  <c r="F91" i="12"/>
  <c r="F47" i="12"/>
  <c r="F15" i="12"/>
  <c r="F90" i="12"/>
  <c r="F14" i="12"/>
  <c r="F67" i="12"/>
  <c r="F44" i="12"/>
  <c r="F48" i="12"/>
  <c r="F65" i="12"/>
  <c r="F62" i="12"/>
  <c r="F97" i="12"/>
  <c r="F23" i="12"/>
  <c r="F29" i="12"/>
  <c r="F28" i="12"/>
  <c r="F55" i="12"/>
  <c r="F88" i="12"/>
  <c r="F80" i="12"/>
  <c r="F43" i="12"/>
  <c r="F39" i="12"/>
  <c r="F58" i="12"/>
  <c r="F40" i="12"/>
  <c r="F32" i="12"/>
  <c r="F84" i="12"/>
  <c r="F19" i="12"/>
  <c r="F68" i="12"/>
  <c r="F92" i="12"/>
  <c r="F89" i="12"/>
  <c r="F78" i="12"/>
  <c r="F56" i="12"/>
  <c r="F36" i="12"/>
  <c r="F33" i="12"/>
  <c r="F26" i="12"/>
  <c r="I15" i="12"/>
  <c r="I94" i="12"/>
  <c r="I17" i="12"/>
  <c r="I81" i="12"/>
  <c r="I34" i="12"/>
  <c r="I80" i="12"/>
  <c r="I9" i="12"/>
  <c r="I72" i="12"/>
  <c r="I63" i="12"/>
  <c r="I52" i="12"/>
  <c r="I50" i="12"/>
  <c r="I40" i="12"/>
  <c r="I11" i="12"/>
  <c r="I73" i="12"/>
  <c r="I67" i="12"/>
  <c r="I60" i="12"/>
  <c r="I70" i="12"/>
  <c r="I41" i="12"/>
  <c r="I14" i="12"/>
  <c r="I57" i="12"/>
  <c r="I21" i="12"/>
  <c r="I92" i="12"/>
  <c r="I78" i="12"/>
  <c r="I55" i="12"/>
  <c r="I49" i="12"/>
  <c r="I42" i="12"/>
  <c r="I68" i="12"/>
  <c r="G80" i="12"/>
  <c r="G8" i="12"/>
  <c r="I36" i="12"/>
  <c r="F64" i="12"/>
  <c r="F57" i="12"/>
  <c r="G85" i="12"/>
  <c r="G82" i="12"/>
  <c r="G44" i="12"/>
  <c r="G10" i="12"/>
  <c r="I18" i="12"/>
  <c r="I95" i="12"/>
  <c r="I74" i="12"/>
  <c r="F66" i="12"/>
  <c r="G77" i="12"/>
  <c r="G39" i="12"/>
  <c r="I66" i="12"/>
  <c r="F34" i="12"/>
  <c r="I62" i="12"/>
  <c r="I91" i="12"/>
  <c r="I8" i="12"/>
  <c r="I32" i="12"/>
  <c r="G93" i="12"/>
  <c r="G50" i="12"/>
  <c r="G19" i="12"/>
  <c r="G12" i="12"/>
  <c r="I16" i="12"/>
  <c r="I38" i="12"/>
  <c r="I31" i="12"/>
  <c r="F74" i="12"/>
  <c r="G73" i="12"/>
  <c r="I43" i="12"/>
  <c r="G96" i="12"/>
  <c r="G64" i="12"/>
  <c r="G61" i="12"/>
  <c r="G58" i="12"/>
  <c r="G30" i="12"/>
  <c r="G21" i="12"/>
  <c r="I23" i="12"/>
  <c r="I10" i="12"/>
  <c r="I56" i="12"/>
  <c r="I47" i="12"/>
  <c r="I33" i="12"/>
  <c r="I29" i="12"/>
  <c r="I7" i="12"/>
  <c r="F94" i="12"/>
  <c r="F83" i="12"/>
  <c r="F24" i="12"/>
  <c r="F20" i="12"/>
  <c r="G97" i="12"/>
  <c r="G65" i="12"/>
  <c r="H24" i="12" l="1"/>
  <c r="D24" i="12" s="1"/>
  <c r="B24" i="12" s="1"/>
  <c r="H45" i="12"/>
  <c r="D45" i="12" s="1"/>
  <c r="B45" i="12" s="1"/>
  <c r="H35" i="12"/>
  <c r="D35" i="12" s="1"/>
  <c r="B35" i="12" s="1"/>
  <c r="H59" i="12"/>
  <c r="D59" i="12" s="1"/>
  <c r="B59" i="12" s="1"/>
  <c r="H81" i="12"/>
  <c r="D81" i="12" s="1"/>
  <c r="B81" i="12" s="1"/>
  <c r="H20" i="12"/>
  <c r="D20" i="12" s="1"/>
  <c r="B20" i="12" s="1"/>
  <c r="H73" i="12"/>
  <c r="D73" i="12" s="1"/>
  <c r="B73" i="12" s="1"/>
  <c r="H15" i="12"/>
  <c r="D15" i="12" s="1"/>
  <c r="B15" i="12" s="1"/>
  <c r="H21" i="12"/>
  <c r="D21" i="12" s="1"/>
  <c r="B21" i="12" s="1"/>
  <c r="H62" i="12"/>
  <c r="D62" i="12" s="1"/>
  <c r="B62" i="12" s="1"/>
  <c r="H26" i="12"/>
  <c r="D26" i="12" s="1"/>
  <c r="B26" i="12" s="1"/>
  <c r="H98" i="12"/>
  <c r="D98" i="12" s="1"/>
  <c r="B98" i="12" s="1"/>
  <c r="H68" i="12"/>
  <c r="D68" i="12" s="1"/>
  <c r="B68" i="12" s="1"/>
  <c r="H13" i="12"/>
  <c r="D13" i="12" s="1"/>
  <c r="B13" i="12" s="1"/>
  <c r="H86" i="12"/>
  <c r="D86" i="12" s="1"/>
  <c r="B86" i="12" s="1"/>
  <c r="H85" i="12"/>
  <c r="D85" i="12" s="1"/>
  <c r="B85" i="12" s="1"/>
  <c r="H41" i="12"/>
  <c r="D41" i="12" s="1"/>
  <c r="B41" i="12" s="1"/>
  <c r="H33" i="12"/>
  <c r="D33" i="12" s="1"/>
  <c r="B33" i="12" s="1"/>
  <c r="H12" i="12"/>
  <c r="D12" i="12" s="1"/>
  <c r="B12" i="12" s="1"/>
  <c r="H30" i="12"/>
  <c r="D30" i="12" s="1"/>
  <c r="B30" i="12" s="1"/>
  <c r="H53" i="12"/>
  <c r="D53" i="12" s="1"/>
  <c r="B53" i="12" s="1"/>
  <c r="H71" i="12"/>
  <c r="D71" i="12" s="1"/>
  <c r="B71" i="12" s="1"/>
  <c r="H29" i="12"/>
  <c r="D29" i="12" s="1"/>
  <c r="B29" i="12" s="1"/>
  <c r="H32" i="12"/>
  <c r="D32" i="12" s="1"/>
  <c r="B32" i="12" s="1"/>
  <c r="H60" i="12"/>
  <c r="D60" i="12" s="1"/>
  <c r="B60" i="12" s="1"/>
  <c r="H48" i="12"/>
  <c r="D48" i="12" s="1"/>
  <c r="B48" i="12" s="1"/>
  <c r="H97" i="12"/>
  <c r="D97" i="12" s="1"/>
  <c r="B97" i="12" s="1"/>
  <c r="H94" i="12"/>
  <c r="D94" i="12" s="1"/>
  <c r="B94" i="12" s="1"/>
  <c r="H65" i="12"/>
  <c r="D65" i="12" s="1"/>
  <c r="B65" i="12" s="1"/>
  <c r="H28" i="12"/>
  <c r="D28" i="12" s="1"/>
  <c r="B28" i="12" s="1"/>
  <c r="H17" i="12"/>
  <c r="D17" i="12" s="1"/>
  <c r="B17" i="12" s="1"/>
  <c r="H78" i="12"/>
  <c r="D78" i="12" s="1"/>
  <c r="B78" i="12" s="1"/>
  <c r="H22" i="12"/>
  <c r="D22" i="12" s="1"/>
  <c r="B22" i="12" s="1"/>
  <c r="H61" i="12"/>
  <c r="D61" i="12" s="1"/>
  <c r="B61" i="12" s="1"/>
  <c r="H19" i="12"/>
  <c r="D19" i="12" s="1"/>
  <c r="B19" i="12" s="1"/>
  <c r="H58" i="12"/>
  <c r="D58" i="12" s="1"/>
  <c r="B58" i="12" s="1"/>
  <c r="H93" i="12"/>
  <c r="D93" i="12" s="1"/>
  <c r="B93" i="12" s="1"/>
  <c r="H55" i="12"/>
  <c r="D55" i="12" s="1"/>
  <c r="B55" i="12" s="1"/>
  <c r="H90" i="12"/>
  <c r="D90" i="12" s="1"/>
  <c r="B90" i="12" s="1"/>
  <c r="H39" i="12"/>
  <c r="D39" i="12" s="1"/>
  <c r="B39" i="12" s="1"/>
  <c r="H42" i="12"/>
  <c r="D42" i="12" s="1"/>
  <c r="B42" i="12" s="1"/>
  <c r="H8" i="12"/>
  <c r="D8" i="12" s="1"/>
  <c r="B8" i="12" s="1"/>
  <c r="H27" i="12"/>
  <c r="D27" i="12" s="1"/>
  <c r="B27" i="12" s="1"/>
  <c r="H47" i="12"/>
  <c r="D47" i="12" s="1"/>
  <c r="B47" i="12" s="1"/>
  <c r="H64" i="12"/>
  <c r="D64" i="12" s="1"/>
  <c r="B64" i="12" s="1"/>
  <c r="H82" i="12"/>
  <c r="D82" i="12" s="1"/>
  <c r="B82" i="12" s="1"/>
  <c r="H10" i="12"/>
  <c r="D10" i="12" s="1"/>
  <c r="B10" i="12" s="1"/>
  <c r="H83" i="12"/>
  <c r="D83" i="12" s="1"/>
  <c r="B83" i="12" s="1"/>
  <c r="H7" i="12"/>
  <c r="H23" i="12"/>
  <c r="D23" i="12" s="1"/>
  <c r="B23" i="12" s="1"/>
  <c r="H43" i="12"/>
  <c r="D43" i="12" s="1"/>
  <c r="B43" i="12" s="1"/>
  <c r="H80" i="12"/>
  <c r="D80" i="12" s="1"/>
  <c r="B80" i="12" s="1"/>
  <c r="H40" i="12"/>
  <c r="D40" i="12" s="1"/>
  <c r="B40" i="12" s="1"/>
  <c r="H77" i="12"/>
  <c r="D77" i="12" s="1"/>
  <c r="B77" i="12" s="1"/>
  <c r="H95" i="12"/>
  <c r="D95" i="12" s="1"/>
  <c r="B95" i="12" s="1"/>
  <c r="H79" i="12"/>
  <c r="D79" i="12" s="1"/>
  <c r="B79" i="12" s="1"/>
  <c r="H96" i="12"/>
  <c r="D96" i="12" s="1"/>
  <c r="B96" i="12" s="1"/>
  <c r="H75" i="12"/>
  <c r="D75" i="12" s="1"/>
  <c r="B75" i="12" s="1"/>
  <c r="H16" i="12"/>
  <c r="D16" i="12" s="1"/>
  <c r="B16" i="12" s="1"/>
  <c r="H34" i="12"/>
  <c r="D34" i="12" s="1"/>
  <c r="B34" i="12" s="1"/>
  <c r="H72" i="12"/>
  <c r="D72" i="12" s="1"/>
  <c r="B72" i="12" s="1"/>
  <c r="H36" i="12"/>
  <c r="D36" i="12" s="1"/>
  <c r="B36" i="12" s="1"/>
  <c r="H31" i="12"/>
  <c r="D31" i="12" s="1"/>
  <c r="B31" i="12" s="1"/>
  <c r="H51" i="12"/>
  <c r="D51" i="12" s="1"/>
  <c r="B51" i="12" s="1"/>
  <c r="H14" i="12"/>
  <c r="D14" i="12" s="1"/>
  <c r="B14" i="12" s="1"/>
  <c r="H52" i="12"/>
  <c r="D52" i="12" s="1"/>
  <c r="B52" i="12" s="1"/>
  <c r="H70" i="12"/>
  <c r="D70" i="12" s="1"/>
  <c r="B70" i="12" s="1"/>
  <c r="H88" i="12"/>
  <c r="D88" i="12" s="1"/>
  <c r="B88" i="12" s="1"/>
  <c r="H11" i="12"/>
  <c r="D11" i="12" s="1"/>
  <c r="B11" i="12" s="1"/>
  <c r="H49" i="12"/>
  <c r="D49" i="12" s="1"/>
  <c r="B49" i="12" s="1"/>
  <c r="H66" i="12"/>
  <c r="D66" i="12" s="1"/>
  <c r="B66" i="12" s="1"/>
  <c r="H84" i="12"/>
  <c r="D84" i="12" s="1"/>
  <c r="B84" i="12" s="1"/>
  <c r="H9" i="12"/>
  <c r="D9" i="12" s="1"/>
  <c r="B9" i="12" s="1"/>
  <c r="H44" i="12"/>
  <c r="D44" i="12" s="1"/>
  <c r="B44" i="12" s="1"/>
  <c r="H63" i="12"/>
  <c r="D63" i="12" s="1"/>
  <c r="B63" i="12" s="1"/>
  <c r="H56" i="12"/>
  <c r="D56" i="12" s="1"/>
  <c r="B56" i="12" s="1"/>
  <c r="H91" i="12"/>
  <c r="D91" i="12" s="1"/>
  <c r="B91" i="12" s="1"/>
  <c r="H18" i="12"/>
  <c r="D18" i="12" s="1"/>
  <c r="B18" i="12" s="1"/>
  <c r="H38" i="12"/>
  <c r="D38" i="12" s="1"/>
  <c r="B38" i="12" s="1"/>
  <c r="H57" i="12"/>
  <c r="D57" i="12" s="1"/>
  <c r="B57" i="12" s="1"/>
  <c r="H74" i="12"/>
  <c r="D74" i="12" s="1"/>
  <c r="B74" i="12" s="1"/>
  <c r="H92" i="12"/>
  <c r="D92" i="12" s="1"/>
  <c r="B92" i="12" s="1"/>
  <c r="H89" i="12"/>
  <c r="D89" i="12" s="1"/>
  <c r="B89" i="12" s="1"/>
  <c r="H50" i="12"/>
  <c r="D50" i="12" s="1"/>
  <c r="B50" i="12" s="1"/>
  <c r="H67" i="12"/>
  <c r="D67" i="12" s="1"/>
  <c r="B67" i="12" s="1"/>
  <c r="D7" i="12" l="1"/>
  <c r="B7" i="12" s="1"/>
</calcChain>
</file>

<file path=xl/sharedStrings.xml><?xml version="1.0" encoding="utf-8"?>
<sst xmlns="http://schemas.openxmlformats.org/spreadsheetml/2006/main" count="4108" uniqueCount="673">
  <si>
    <t>Центральный федеральный округ</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</si>
  <si>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</si>
  <si>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</si>
  <si>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</si>
  <si>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</si>
  <si>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</si>
  <si>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</si>
  <si>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</si>
  <si>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</si>
  <si>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</si>
  <si>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Московская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</si>
  <si>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</si>
  <si>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</si>
  <si>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</si>
  <si>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</si>
  <si>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</si>
  <si>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</si>
  <si>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</si>
  <si>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Северо-Западный федеральный округ</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</si>
  <si>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</si>
  <si>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</si>
  <si>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</si>
  <si>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</si>
  <si>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</si>
  <si>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</si>
  <si>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</si>
  <si>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</si>
  <si>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</si>
  <si>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Ненецкий автономный округ</t>
  </si>
  <si>
    <t>Южный федеральный округ</t>
  </si>
  <si>
    <t>Республика Адыгея (Адыгея)</t>
  </si>
  <si>
    <t>Республика Калмыкия</t>
  </si>
  <si>
    <t>Краснодарский край</t>
  </si>
  <si>
    <t>Астраханская область</t>
  </si>
  <si>
    <t>Волгоградская область</t>
  </si>
  <si>
    <t>Ростовская область</t>
  </si>
  <si>
    <t>Северо-Кавказский федеральный округ</t>
  </si>
  <si>
    <t>Республика Дагестан</t>
  </si>
  <si>
    <t>Республика Ингушетия</t>
  </si>
  <si>
    <t>Кабардино-Балкарская Республика</t>
  </si>
  <si>
    <t>Карачаево-Черкесская Республика</t>
  </si>
  <si>
    <t>Чеченская Республика</t>
  </si>
  <si>
    <t>Ставропольский край</t>
  </si>
  <si>
    <t>Приволжский федеральный округ</t>
  </si>
  <si>
    <t>Республика Башкортостан</t>
  </si>
  <si>
    <t>Республика Мордовия</t>
  </si>
  <si>
    <t>Республика Татарстан (Татарстан)</t>
  </si>
  <si>
    <t>Удмуртская Республика</t>
  </si>
  <si>
    <t>Пермский край</t>
  </si>
  <si>
    <t>Кировская область</t>
  </si>
  <si>
    <t>Оренбургская область</t>
  </si>
  <si>
    <t>Пензенская область</t>
  </si>
  <si>
    <t>Самарская область</t>
  </si>
  <si>
    <t>Саратовская область</t>
  </si>
  <si>
    <t>Ульяновская область</t>
  </si>
  <si>
    <t>Уральский федеральный округ</t>
  </si>
  <si>
    <t>Курганская область</t>
  </si>
  <si>
    <t>Свердловская область</t>
  </si>
  <si>
    <t>Тюменская область</t>
  </si>
  <si>
    <t>Челябинская область</t>
  </si>
  <si>
    <t>Ямало-Ненецкий автономный округ</t>
  </si>
  <si>
    <t>Сибирский федеральный округ</t>
  </si>
  <si>
    <t>Республика Алтай</t>
  </si>
  <si>
    <t>Республика Бурятия</t>
  </si>
  <si>
    <t>Республика Тыва</t>
  </si>
  <si>
    <t>Республика Хакасия</t>
  </si>
  <si>
    <t>Алтайский край</t>
  </si>
  <si>
    <t>Забайкальский край</t>
  </si>
  <si>
    <t>Красноярский край</t>
  </si>
  <si>
    <t>Иркутская область</t>
  </si>
  <si>
    <t>Новосибирская область</t>
  </si>
  <si>
    <t>Омская область</t>
  </si>
  <si>
    <t>Томская область</t>
  </si>
  <si>
    <t>Дальневосточный федеральный округ</t>
  </si>
  <si>
    <t>Республика Саха (Якутия)</t>
  </si>
  <si>
    <t>Камчатский край</t>
  </si>
  <si>
    <t>Хабаровский край</t>
  </si>
  <si>
    <t>Амурская область</t>
  </si>
  <si>
    <t>Магаданская область</t>
  </si>
  <si>
    <t>Сахалинская область</t>
  </si>
  <si>
    <t>Еврейская автономная область</t>
  </si>
  <si>
    <t>Чукотский автономный округ</t>
  </si>
  <si>
    <t>Единица измерения</t>
  </si>
  <si>
    <t>баллов</t>
  </si>
  <si>
    <t>Вопросы и варианты ответов</t>
  </si>
  <si>
    <t>Баллы</t>
  </si>
  <si>
    <t>Понижающие коэффициенты</t>
  </si>
  <si>
    <t>Республика Крым</t>
  </si>
  <si>
    <t>Итого</t>
  </si>
  <si>
    <t>баллы</t>
  </si>
  <si>
    <t>К1</t>
  </si>
  <si>
    <t>Нет, не содержится или не отвечает требованиям</t>
  </si>
  <si>
    <t>Да, содержится</t>
  </si>
  <si>
    <t>1.1</t>
  </si>
  <si>
    <t>1.2</t>
  </si>
  <si>
    <t>1.3</t>
  </si>
  <si>
    <t>1.4</t>
  </si>
  <si>
    <t>1.5</t>
  </si>
  <si>
    <t>Оценка показателя 1.2</t>
  </si>
  <si>
    <t>Оценка показателя 1.3</t>
  </si>
  <si>
    <t>Оценка показателя 1.4</t>
  </si>
  <si>
    <t xml:space="preserve">Нет, не содержится </t>
  </si>
  <si>
    <t>Итого по разделу 1</t>
  </si>
  <si>
    <t>Максимальное количество баллов</t>
  </si>
  <si>
    <t>%</t>
  </si>
  <si>
    <t>% от максимального количества баллов по разделу 1</t>
  </si>
  <si>
    <t xml:space="preserve">№ п/п </t>
  </si>
  <si>
    <t>К2</t>
  </si>
  <si>
    <t xml:space="preserve">Да, размещен </t>
  </si>
  <si>
    <t>Нет, в установленные сроки не размещен</t>
  </si>
  <si>
    <t>Номер закона</t>
  </si>
  <si>
    <t>-</t>
  </si>
  <si>
    <t>Оценка показателя 1.1</t>
  </si>
  <si>
    <t>Дата подписания закона</t>
  </si>
  <si>
    <t>Дополнительный комментарий к оценке показателя и применению понижающих коэффициентов</t>
  </si>
  <si>
    <t>Ссылка на источник данных</t>
  </si>
  <si>
    <t>Сайт финоргана или страница, где публикуются бюджетные данные, на сайте исполнительных органов власти</t>
  </si>
  <si>
    <t>Специализированный портал для публикации бюджетных данных</t>
  </si>
  <si>
    <t>Детализация по безвозмездным поступлениям</t>
  </si>
  <si>
    <t>Оценка показателя 1.5</t>
  </si>
  <si>
    <t>нет данных</t>
  </si>
  <si>
    <t>Да</t>
  </si>
  <si>
    <t>Нет</t>
  </si>
  <si>
    <t>http://dtf.avo.ru/zakony-vladimirskoj-oblasti</t>
  </si>
  <si>
    <t>http://budget.mosreg.ru/byudzhet-dlya-grazhdan/zakon-o-byudzhete-mo/</t>
  </si>
  <si>
    <t>http://dfei.adm-nao.ru/zakony-o-byudzhete/</t>
  </si>
  <si>
    <t>http://minfin.kalmregion.ru/deyatelnost/byudzhet-respubliki-kalmykiya/</t>
  </si>
  <si>
    <t>http://mf.nnov.ru/index.php?option=com_k2&amp;view=item&amp;id=1509:zakony-ob-oblastnom-byudzhete-na-ocherednoj-finansovyj-god-i-na-planovyj-period&amp;Itemid=553</t>
  </si>
  <si>
    <t>http://finance.pnzreg.ru/docs/bpo/osnzakon.php</t>
  </si>
  <si>
    <t xml:space="preserve">Дата подписания закона </t>
  </si>
  <si>
    <t>Комментарий</t>
  </si>
  <si>
    <t>для общего объема субсидий</t>
  </si>
  <si>
    <t>для распределенных субсидий</t>
  </si>
  <si>
    <t>Детализация по налоговым и неналоговым доходам</t>
  </si>
  <si>
    <t>Номер приложения</t>
  </si>
  <si>
    <t xml:space="preserve">Комментарий </t>
  </si>
  <si>
    <t>Номер статьи</t>
  </si>
  <si>
    <t>В случае размещения закона о бюджете в неструктурированном виде применяется понижающий коэффициент (что не исключает других случаев применения понижающих коэффициентов).</t>
  </si>
  <si>
    <t>РАЗДЕЛ 1.    ПЕРВОНАЧАЛЬНО УТВЕРЖДЕННЫЙ БЮДЖЕТ</t>
  </si>
  <si>
    <t>https://dvinaland.ru/budget/zakon/</t>
  </si>
  <si>
    <t>https://minfin39.ru/budget/process/current/</t>
  </si>
  <si>
    <t>http://minfin.krskstate.ru/openbudget/law</t>
  </si>
  <si>
    <t>1, 2</t>
  </si>
  <si>
    <t>3, 4</t>
  </si>
  <si>
    <t>5, 6</t>
  </si>
  <si>
    <t>6, 7</t>
  </si>
  <si>
    <t>1-4</t>
  </si>
  <si>
    <t>4, 5</t>
  </si>
  <si>
    <t>1, 3</t>
  </si>
  <si>
    <t>10, 11</t>
  </si>
  <si>
    <t>9, 10</t>
  </si>
  <si>
    <t>8, 9</t>
  </si>
  <si>
    <t>7, 8</t>
  </si>
  <si>
    <t>12, 13</t>
  </si>
  <si>
    <t>Детализация бюджетных ассигнований</t>
  </si>
  <si>
    <t>Раздел</t>
  </si>
  <si>
    <t>Подраздел</t>
  </si>
  <si>
    <t>6 (таблицы 1.1, 1.2)</t>
  </si>
  <si>
    <t>11, 12</t>
  </si>
  <si>
    <t>14, 15</t>
  </si>
  <si>
    <t>нет</t>
  </si>
  <si>
    <t>http://minfinrd.ru/svedeniya_ob_ispolzovanii_vydelyaemykh_byudzhetnykh_sredstv</t>
  </si>
  <si>
    <t xml:space="preserve">Дата размещения закона </t>
  </si>
  <si>
    <t>1, 1а</t>
  </si>
  <si>
    <t>9, 9а</t>
  </si>
  <si>
    <t xml:space="preserve">К1   </t>
  </si>
  <si>
    <t>поиск не проводился</t>
  </si>
  <si>
    <t>http://ufin48.ru/Show/Tag/Бюджет</t>
  </si>
  <si>
    <t>портал не работает</t>
  </si>
  <si>
    <t>https://minfin.tularegion.ru/documents/?SECTION=1579</t>
  </si>
  <si>
    <t>https://www.yarregion.ru/depts/depfin/tmpPages/docs.aspx</t>
  </si>
  <si>
    <t>https://minfin.gov-murman.ru/open-budget/regional_budget/law_of_budget/</t>
  </si>
  <si>
    <t>http://www.mfsk.ru/law/z_sk</t>
  </si>
  <si>
    <t>переадресация на СП: http://ufo.ulntc.ru/index.php?mgf=budget/open_budget&amp;slep=net</t>
  </si>
  <si>
    <t>https://minfin.midural.ru/document/category/20%20-%20document_list#document_list</t>
  </si>
  <si>
    <t>http://mfnso.nso.ru/page/3777</t>
  </si>
  <si>
    <t>https://primorsky.ru/authorities/executive-agencies/departments/finance/laws.php</t>
  </si>
  <si>
    <t>переадресация на СП: https://www.fin.amurobl.ru/pages/normativno-pravovye-akty/regionalnyy-uroven/zakony-ao/</t>
  </si>
  <si>
    <t>переадресация на СП: http://sakhminfin.ru/</t>
  </si>
  <si>
    <t>https://fincom.gov.spb.ru/budget/info/acts/1</t>
  </si>
  <si>
    <t>K1</t>
  </si>
  <si>
    <t>нет портала</t>
  </si>
  <si>
    <t>Дата подписания</t>
  </si>
  <si>
    <t>Доля субсидий, распределенных по муниципальным образованиям законом о бюджете, %</t>
  </si>
  <si>
    <t xml:space="preserve">Способ получения сведений об общем объеме субсидий местным бюджетам </t>
  </si>
  <si>
    <t>Объем субсидий, распределенных по муниципальным образованиям законом о бюджете, тыс. рублей **</t>
  </si>
  <si>
    <t>да</t>
  </si>
  <si>
    <t>- *</t>
  </si>
  <si>
    <t>* Для городов федерального значения в соответствии с Методикой составления рейтинга оценка показателя не осуществляется, производится корректировка максимального количества баллов.</t>
  </si>
  <si>
    <t>Нет сведений о налоговых и неналоговых доходах.</t>
  </si>
  <si>
    <t>Нет детализации налоговых и неналоговых доходов.</t>
  </si>
  <si>
    <t>Группа A: очень высокий уровень открытости бюджетных данных (80% и более от максимально возможного количества баллов)</t>
  </si>
  <si>
    <t>Группа B: высокий уровень открытости бюджетных данных (60–79,9% от максимально возможного количества баллов)</t>
  </si>
  <si>
    <t>Группа C: средний уровень открытости бюджетных данных (40–59,9% от максимально возможного количества баллов)</t>
  </si>
  <si>
    <t>Группа D: низкий уровень открытости бюджетных данных (20–39,9% от максимально возможного количества баллов)</t>
  </si>
  <si>
    <t>Полнота сведений (все составляющие, включая приложения)</t>
  </si>
  <si>
    <t>Используется не только графический формат</t>
  </si>
  <si>
    <t>Наличие структуры документа</t>
  </si>
  <si>
    <t>Наличие наименований составляющих</t>
  </si>
  <si>
    <t xml:space="preserve">не размещено: http://mef.mosreg.ru </t>
  </si>
  <si>
    <t>https://orel-region.ru/index.php?head=20&amp;part=25&amp;in=131</t>
  </si>
  <si>
    <t>https://minfin.ryazangov.ru/documents/documents_RO/zakony-ob-oblastnom-byudzhete-ryazanskoy-oblasti/index.php</t>
  </si>
  <si>
    <t xml:space="preserve">не размещено: http://www.tverfin.ru/np-baza/regionalnye-normativnye-pravovye-akty/ </t>
  </si>
  <si>
    <t xml:space="preserve">не размещено: https://www.mos.ru/findep/ </t>
  </si>
  <si>
    <t>не размещено: http://bks.pskov.ru/ebudget/Show/Category/10?ItemId=257</t>
  </si>
  <si>
    <t>переадресация на СП: http://saratov.gov.ru/gov/auth/minfin/</t>
  </si>
  <si>
    <t>https://irkobl.ru/sites/minfin/activity/obl/</t>
  </si>
  <si>
    <t>не размещено: https://minfin.49gov.ru/documents/</t>
  </si>
  <si>
    <t>ст. 13</t>
  </si>
  <si>
    <t>https://budget.mos.ru/budget</t>
  </si>
  <si>
    <t>https://minfin.kbr.ru/activity/byudzhet/</t>
  </si>
  <si>
    <t>4-7</t>
  </si>
  <si>
    <t>Нет, не содержатся или не отвечают требованиям</t>
  </si>
  <si>
    <t>В целях оценки показателя учитываются обособленно представленные сведения о межбюджетных трансфертах, предоставляемых местным бюджетам, а также федеральному бюджету, бюджетам других субъектов Российской Федерации, бюджетам государственных внебюджетных фондов (если такие межбюджетные трансферты предусмотрены законом о бюджете).</t>
  </si>
  <si>
    <t>1, 12</t>
  </si>
  <si>
    <t>12</t>
  </si>
  <si>
    <t>6</t>
  </si>
  <si>
    <t>11</t>
  </si>
  <si>
    <t>13</t>
  </si>
  <si>
    <t>8, 10</t>
  </si>
  <si>
    <t>4, 7</t>
  </si>
  <si>
    <t>15</t>
  </si>
  <si>
    <t>г. Севастополь</t>
  </si>
  <si>
    <t>Сведения представлены в полном объеме или в части местных бюджетов</t>
  </si>
  <si>
    <t>дотации</t>
  </si>
  <si>
    <t>субсидии</t>
  </si>
  <si>
    <t>субвенции</t>
  </si>
  <si>
    <t>иные МБТ</t>
  </si>
  <si>
    <t>Объем межбюджетных трансфертов федеральному бюджету</t>
  </si>
  <si>
    <t>в том числе:</t>
  </si>
  <si>
    <t>Разница между графами S и R</t>
  </si>
  <si>
    <t>Объем межбюджетных трансфертов бюджету территориального фонда обязательного медицинского страхования</t>
  </si>
  <si>
    <t>Да, в части местных бюджетов</t>
  </si>
  <si>
    <t>Соблюдается последовательность представления данных по формам межбюджетных трансфертов</t>
  </si>
  <si>
    <t>Нет данных</t>
  </si>
  <si>
    <t>Расчет по ВР 520</t>
  </si>
  <si>
    <t>Указано в законе</t>
  </si>
  <si>
    <t>Примечания.</t>
  </si>
  <si>
    <t>Проверочный расчет достоверности данных</t>
  </si>
  <si>
    <t>Да, в полном объеме</t>
  </si>
  <si>
    <t>Закон размещен в полном объеме в установленные сроки надлежащей практики</t>
  </si>
  <si>
    <t>не размещено: http://depfin.orel-region.ru:8096/ebudget/Menu/Page/36</t>
  </si>
  <si>
    <t>нет (нарушен срок надлежащей практики)</t>
  </si>
  <si>
    <t>Используется только графический формат (К2).</t>
  </si>
  <si>
    <t>Отсутствуют наименования, отражающие содержание приложений (К2).</t>
  </si>
  <si>
    <t>https://www.eao.ru/isp-vlast/departament-finansov-pravitelstva-evreyskoy-avtonomnoy-oblasti/byudzhet/</t>
  </si>
  <si>
    <t>Детализации налоговых и неналоговых доходов недостаточно для оценки показателя.</t>
  </si>
  <si>
    <t>Объем межбюджетных трансфертов федеральной территории "Сириус"</t>
  </si>
  <si>
    <t>17, 18</t>
  </si>
  <si>
    <t>Нет (недостоверные данные)</t>
  </si>
  <si>
    <t>Представлены в полном объеме сведения об объемах межбюджетных трансфертов местным бюджетам</t>
  </si>
  <si>
    <t>Не предусмотрены</t>
  </si>
  <si>
    <t>Сведения не представлены.</t>
  </si>
  <si>
    <t>13, 14</t>
  </si>
  <si>
    <t>Не соблюдается последовательность представления данных по формам межбюджетных трансфертов в приложении 19 (К1).</t>
  </si>
  <si>
    <t>Не соблюдается последовательность представления сведений по формам межбюджетных трансфертов в приложении 26 (К1).</t>
  </si>
  <si>
    <t>Распределено менее 50% субсидий.</t>
  </si>
  <si>
    <t>прил. 16</t>
  </si>
  <si>
    <t>ст. 5</t>
  </si>
  <si>
    <t>ст. 7</t>
  </si>
  <si>
    <t>ст. 14</t>
  </si>
  <si>
    <t>прил. 15</t>
  </si>
  <si>
    <t>ст. 9</t>
  </si>
  <si>
    <t>ст. 11</t>
  </si>
  <si>
    <t>прил. 8</t>
  </si>
  <si>
    <t>ст. 6</t>
  </si>
  <si>
    <t>ст. 12</t>
  </si>
  <si>
    <t>прил. 13</t>
  </si>
  <si>
    <t>ст. 17</t>
  </si>
  <si>
    <t>прил. 11</t>
  </si>
  <si>
    <t>прил. 10 (табл. 2.1-2.54)</t>
  </si>
  <si>
    <t>прил. 19 (табл. 6-19)</t>
  </si>
  <si>
    <t>прил. 14</t>
  </si>
  <si>
    <t>ст. 3</t>
  </si>
  <si>
    <t>прил. 12</t>
  </si>
  <si>
    <t>ст. 8</t>
  </si>
  <si>
    <t>ст. 15</t>
  </si>
  <si>
    <t>прил. 17</t>
  </si>
  <si>
    <t>прил. 21</t>
  </si>
  <si>
    <t>прил. 10</t>
  </si>
  <si>
    <t>прил. 12.1</t>
  </si>
  <si>
    <t>прил. 25</t>
  </si>
  <si>
    <t>прил. 23</t>
  </si>
  <si>
    <t>прил. 18</t>
  </si>
  <si>
    <t>прил. 34</t>
  </si>
  <si>
    <t>прил. 5</t>
  </si>
  <si>
    <t>ст. 2</t>
  </si>
  <si>
    <t>прил. 28</t>
  </si>
  <si>
    <t>прил. 14, 15</t>
  </si>
  <si>
    <t>прил. 12-30</t>
  </si>
  <si>
    <t>Для определения общего объема субсидий произведен расчет по ведомственной структуре расходов с использованием ВР 520 (К1).</t>
  </si>
  <si>
    <t>Сведения о распределении субсидий по муниципальным образованиям в законе отсутствуют.</t>
  </si>
  <si>
    <t>Оценка не осуществляется, производится корректировка максимального количества баллов</t>
  </si>
  <si>
    <t>10</t>
  </si>
  <si>
    <t>https://www.govvrn.ru/npafin?p_p_id=Foldersanddocuments_WAR_foldersanddocumentsportlet&amp;p_p_lifecycle=0&amp;p_p_state=normal&amp;p_p_mode=view&amp;folderId=11117725</t>
  </si>
  <si>
    <t>https://minfin.admoblkaluga.ru/page/2023-2025_budget/</t>
  </si>
  <si>
    <t>https://depfin.kostroma.gov.ru/byudzhet/zakony-o-byudzhete/</t>
  </si>
  <si>
    <t>Размещен после срока надлежащей практики, дата размещения указана на сайте.</t>
  </si>
  <si>
    <t>https://fin.smolensk.ru/open/ob/g2023/</t>
  </si>
  <si>
    <t>https://minfin.rkomi.ru/deyatelnost/byudjet/zakony-respubliki-komi-proekty-zakonov-o-respublikanskom-byudjete-respubliki-komi-i-vnesenii-izmeneniy-v-nego/byudjet-na-2023-2025-gody</t>
  </si>
  <si>
    <t>https://df.gov35.ru/otkrytyy-byudzhet/zakony-ob-oblastnom-byudzhete/2023/index.php?ELEMENT_ID=15862</t>
  </si>
  <si>
    <t>https://minfin01-maykop.ru/Show/Content/3561?ParentItemId=55</t>
  </si>
  <si>
    <t>https://minfin.rk.gov.ru/ru/structure/2022_12_16_20_01_zakon_respubliki_krym_o_biudzhete_respubliki_krym_na_2023_god_i_na_planovyi_period_2024_i_2025_godov_ot_15_12_2022_355_zrk_2022</t>
  </si>
  <si>
    <t>https://minfin.astrobl.ru/napravleniya-deyatelnosti/zakony-o-biudzete-astraxanskoi-oblasti</t>
  </si>
  <si>
    <t>https://volgafin.volgograd.ru/norms/acts/17873/</t>
  </si>
  <si>
    <t>https://minfin.donland.ru/documents/active/196032/</t>
  </si>
  <si>
    <t>https://ob.sev.gov.ru/dokumenty/zakon-o-byudzhete/2023-i-planovyj-period-2024-2025-gg</t>
  </si>
  <si>
    <t>http://minfin.alania.gov.ru/pages/856</t>
  </si>
  <si>
    <t>https://minfin.bashkortostan.ru/documents/active/461819/</t>
  </si>
  <si>
    <t>https://minfin.tatarstan.ru/byudzhet-2023.htm?pub_id=3492276</t>
  </si>
  <si>
    <t>https://minfin.cap.ru/action/activity/byudzhet/respublikanskij-byudzhet-chuvashskoj-respubliki/2023-god/zakon-chuvashskoj-respubliki-ot-25-noyabrya-2021-g</t>
  </si>
  <si>
    <t>https://budget.cap.ru/Show/Category/326?ItemId=1057</t>
  </si>
  <si>
    <t>https://mfin.permkrai.ru/dokumenty/277348/</t>
  </si>
  <si>
    <t>https://budget.permkrai.ru/budget/indicators2023</t>
  </si>
  <si>
    <t>https://minfin-samara.ru/2023-2025/</t>
  </si>
  <si>
    <t>http://ufo.ulntc.ru:8080/dokumenty/utverzhdennyj-zakon-o-byudzhete/2023-god</t>
  </si>
  <si>
    <t>https://minfin.saratov.gov.ru/budget/zakon-o-byudzhete/zakon-ob-oblastnom-byudzhete/zakon-ob-oblastnom-byudzhete-2023-2025-g</t>
  </si>
  <si>
    <t>http://www.finupr.kurganobl.ru/index.php?test=bud23</t>
  </si>
  <si>
    <t>https://depfin.admhmao.ru/otkrytyy-byudzhet/planirovanie-byudzheta/zakony-o-byudzhete-avtonomnogo-okruga/na-2023-god-i-na-planovyy-period-2024-i-2025-godov/8165215/zakon-khanty-mansiyskogo-avtonomnogo-okruga-yugry-ot-24-11-2022-goda-132-oz-o-byudzhete-khanty-mansi/</t>
  </si>
  <si>
    <t>https://www.minfin-altai.ru/deyatelnost/proekt-byudzheta-zakony-o-byudzhete-zakony-ob-ispolnenii-byudzheta/2023-2025/zakon-o-byudzhete/</t>
  </si>
  <si>
    <t>https://r-19.ru/authorities/ministry-of-finance-of-the-republic-of-khakassia/docs/9037/139874.html</t>
  </si>
  <si>
    <t>https://minfin.alregn.ru/bud/z2023/</t>
  </si>
  <si>
    <t>https://depfin.tomsk.gov.ru/documents/front/view/id/84619</t>
  </si>
  <si>
    <t>https://egov-buryatia.ru/minfin/activities/directions/respublikanskiy-byudzhet/2023-2025-gg/zakony-o-byudzhete.php</t>
  </si>
  <si>
    <t>https://www.kamgov.ru/minfin/budzet-2023</t>
  </si>
  <si>
    <t>http://ob.fin.amurobl.ru/dokumenty/zakon/pervon_redakcia/2023</t>
  </si>
  <si>
    <t>https://openbudget.sakhminfin.ru/Menu/Page/611</t>
  </si>
  <si>
    <t>220/2022-ОЗ</t>
  </si>
  <si>
    <t>100-З</t>
  </si>
  <si>
    <t>129-ОЗ</t>
  </si>
  <si>
    <t>76-ОЗ</t>
  </si>
  <si>
    <t>6-9</t>
  </si>
  <si>
    <t>301-ОЗ</t>
  </si>
  <si>
    <t>297-7-ЗКО</t>
  </si>
  <si>
    <t>145-ЗКО</t>
  </si>
  <si>
    <t>243-ОЗ</t>
  </si>
  <si>
    <t>2838-ОЗ</t>
  </si>
  <si>
    <t>94-ОЗ</t>
  </si>
  <si>
    <t>159-з</t>
  </si>
  <si>
    <t>111-ЗО</t>
  </si>
  <si>
    <t>206-З</t>
  </si>
  <si>
    <t>138-ЗТО</t>
  </si>
  <si>
    <t>76-з</t>
  </si>
  <si>
    <t>151-оз</t>
  </si>
  <si>
    <t>666-104</t>
  </si>
  <si>
    <t>2776-ЗРК</t>
  </si>
  <si>
    <t>104-РЗ</t>
  </si>
  <si>
    <t>655-40-ОЗ</t>
  </si>
  <si>
    <t>5283-ОЗ</t>
  </si>
  <si>
    <t>2845-01-ЗМО</t>
  </si>
  <si>
    <t>3, 3.1</t>
  </si>
  <si>
    <t>4, 4.1</t>
  </si>
  <si>
    <t>251-ОЗ</t>
  </si>
  <si>
    <t>2318-ОЗ</t>
  </si>
  <si>
    <t>372-ОЗ</t>
  </si>
  <si>
    <t>263-VI-З</t>
  </si>
  <si>
    <t>355-ЗРК/2022</t>
  </si>
  <si>
    <t>728-ЗС</t>
  </si>
  <si>
    <t>4825-КЗ</t>
  </si>
  <si>
    <t>93/2022-ОЗ</t>
  </si>
  <si>
    <t>122-ОД</t>
  </si>
  <si>
    <t>795-ЗС</t>
  </si>
  <si>
    <t>71-РЗ</t>
  </si>
  <si>
    <t>63-РЗ</t>
  </si>
  <si>
    <t>98-РЗ</t>
  </si>
  <si>
    <t>88-РЗ</t>
  </si>
  <si>
    <t>75-РЗ</t>
  </si>
  <si>
    <t>110-кз</t>
  </si>
  <si>
    <t>651-з</t>
  </si>
  <si>
    <t xml:space="preserve">46-З </t>
  </si>
  <si>
    <t>90-З</t>
  </si>
  <si>
    <t>82-ЗРТ</t>
  </si>
  <si>
    <t>83-РЗ</t>
  </si>
  <si>
    <t>131-ПК</t>
  </si>
  <si>
    <t>149-ЗО</t>
  </si>
  <si>
    <t>197-З</t>
  </si>
  <si>
    <t>636/237-VII-ОЗ</t>
  </si>
  <si>
    <t>3935-ЗПО</t>
  </si>
  <si>
    <t>118-ГД</t>
  </si>
  <si>
    <t>151-ЗСО</t>
  </si>
  <si>
    <t>119-ЗО</t>
  </si>
  <si>
    <t>137-ОЗ</t>
  </si>
  <si>
    <t>727-ЗО</t>
  </si>
  <si>
    <t>132-оз</t>
  </si>
  <si>
    <t>101-ЗАО</t>
  </si>
  <si>
    <t>93-РЗ</t>
  </si>
  <si>
    <t>887-ЗРТ</t>
  </si>
  <si>
    <t>110-ЗРХ</t>
  </si>
  <si>
    <t>110-ЗС</t>
  </si>
  <si>
    <t>4-1351</t>
  </si>
  <si>
    <t>112-ОЗ</t>
  </si>
  <si>
    <t>145-ОЗ</t>
  </si>
  <si>
    <t>307-ОЗ</t>
  </si>
  <si>
    <t>2537-ОЗ</t>
  </si>
  <si>
    <t>141-ОЗ</t>
  </si>
  <si>
    <t>2487-VI</t>
  </si>
  <si>
    <t>5-8</t>
  </si>
  <si>
    <t>1015-VI</t>
  </si>
  <si>
    <t>2134-ЗЗК</t>
  </si>
  <si>
    <t>4, 4(1)</t>
  </si>
  <si>
    <t>6, 6(1)</t>
  </si>
  <si>
    <t>253-КЗ</t>
  </si>
  <si>
    <t>224-ОЗ</t>
  </si>
  <si>
    <t>2767-ОЗ</t>
  </si>
  <si>
    <t>115-ЗО</t>
  </si>
  <si>
    <t>181-ОЗ</t>
  </si>
  <si>
    <t>Для оценки показателей раздела используется первоначально принятый закон субъекта Российской Федерации о бюджете на 2023 год и на плановый период 2024 и 2025 годов. Иные документы и материалы в целях оценки показателей раздела не учитываются.</t>
  </si>
  <si>
    <t>Размещен ли первоначально принятый закон о бюджете на 2023 год и на плановый период 2024 и 2025 годов в открытом доступе на сайте, предназначенном для размещения бюджетных данных?</t>
  </si>
  <si>
    <t>В целях оценки показателя учитывается размещение закона о бюджете в полном объеме, включая текстовую часть и все приложения к закону. В случае, если указанное требование не выполняется (размещены отдельные составляющие закона), то оценка показателя принимает значение «0 (ноль) баллов». Допускается размещение текстовой части закона в графическом формате.</t>
  </si>
  <si>
    <t>В целях составления рейтинга надлежащей практикой считается размещение в открытом доступе закона о бюджете в течение десяти рабочих дней от даты его подписания. В случае, если указанное требование не выполняется, то оценка показателя принимает значение «0 (ноль) баллов».</t>
  </si>
  <si>
    <t>Содержится ли в составе закона о бюджете приложение (приложения) о прогнозируемых объемах поступлений по видам доходов на 2023 год и на плановый период 2024 и 2025 годов?</t>
  </si>
  <si>
    <t>Для оценки показателя как минимум должны быть представлены сведения с детализацией по статьям доходов для 1, 3, 5, 6 и 7 подгрупп 1 группы и для 2 подгруппы 2 группы классификации доходов бюджетов. Если указанные требования не выполняются, то оценка показателя принимает значение «0 (ноль) баллов». Допускается не детализировать по статьям сведения о доходах 5 и 7 подгрупп 1 группы классификации доходов бюджета в случае, если доля доходов соответствующей подгруппы составляет менее 5 % налоговых и неналоговых доходов бюджета.</t>
  </si>
  <si>
    <t>Содержится ли в составе закона о бюджете приложение (приложения) о распределении бюджетных ассигнований по разделам и подразделам классификации расходов бюджетов на 2023 год и на плановый период 2024 и 2025 годов?</t>
  </si>
  <si>
    <t>Содержатся ли в составе закона о бюджете сведения об общем объеме межбюджетных трансфертов, предоставляемых другим бюджетам бюджетной системы Российской Федерации в 2023 году и плановом периоде 2024 и 2025 годов, с детализацией по соответствующим бюджетам и формам межбюджетных трансфертов?</t>
  </si>
  <si>
    <t xml:space="preserve">В целях оценки показателя учитываются сведения об общем объеме межбюджетных трансфертов, предоставляемых другим бюджетам бюджетной системы Российской Федерации в 2023 году и плановом периоде 2024 и 2025 годов, содержащиеся в текстовой части закона о бюджете и (или) в приложении (приложениях) к закону о бюджете, которые непосредственно отражают общий объем межбюджетных трансфертов, в том числе дотаций, субсидий, субвенций, иных межбюджетных трансфертов, предоставляемых другим бюджетам бюджетной системы Российской Федерации в 2023 году и плановом периоде 2024 и 2025 годов. </t>
  </si>
  <si>
    <t>Используемые формулировки должны однозначно указывать на то, что речь идет об общем объеме межбюджетных трансфертов, предоставляемых другим бюджетам бюджетной системы Российской Федерации. При использовании неоднозначных формулировок или при выявлении недостоверных данных оценка показателя принимает значение «0 (ноль) баллов».</t>
  </si>
  <si>
    <t>Расчеты в целях оценки показателя не производятся. Допускается представление сведений об объеме отдельных межбюджетных трансфертов одной формы для одного типа бюджетов (например, дотации местным бюджетам), если количество таких видов межбюджетных трансфертов не превышает трех. В иных случаях сведения об объеме отдельных межбюджетных трансфертов в целях оценки показателя не учитываются.</t>
  </si>
  <si>
    <t>Если в законе о бюджете сведения об общем объеме межбюджетных трансфертов, предусмотренных другим бюджетам бюджетной системы Российской Федерации, с детализацией по формам межбюджетных трансфертов, содержатся в составе ведомственной, программной или функциональной структуры расходов, то применяется понижающий коэффициент, используемый в связи с затрудненным поиском бюджетных данных. Сведения об объемах бюджетных ассигнований на предоставление межбюджетных трансфертов в составе ведомственной, программной или функциональной структуры расходов в целях оценки показателя не учитываются.</t>
  </si>
  <si>
    <t>Да, содержатся для всех бюджетов бюджетной системы Российской Федерации, которым законом о бюджете предусмотрены межбюджетные трансферты</t>
  </si>
  <si>
    <t>Да, содержатся в части местных бюджетов, при этом законом о бюджете предусмотрены также межбюджетные трансферты другим бюджетам бюджетной системы Российской Федерации</t>
  </si>
  <si>
    <t>Какая доля субсидий местным бюджетам на 2023 год распределена законом о бюджете по муниципальным образованиям (в процентах от общего объема субсидий, предусмотренных местным бюджетам законом о бюджете на 2023 год), и сведения о таком распределении представлены комплексно в соответствующем приложении (приложениях) к закону о бюджете?</t>
  </si>
  <si>
    <t xml:space="preserve">В целях оценки показателя учитываются субсидии, распределение которых по муниципальным образованиям утверждено законом о бюджете отдельными приложениями (приложением). Сводные данные о распределении субсидий по муниципальным образованиям без детализации по их конкретным видам (включая  консолидированные субсидии) в целях оценки показателя не учитываются. Сведения о распределении субсидий по отдельным муниципальным образованиям, содержащиеся в текстовой части закона, ведомственной, программной или функциональной структуре расходов, а также в приложении о распределении ассигнований на бюджетные инвестиции, в целях оценки показателя не учитываются. </t>
  </si>
  <si>
    <t>Если сведения о распределении субсидии по муниципальным образованиям не содержат информации об общем объеме субсидии, предусмотренной законом о бюджете и информации об объеме нераспределенной части субсидии (если часть соответствующей субсидии не распределена), то применяется понижающий коэффициент, используемый в связи с затрудненным поиском бюджетных данных.</t>
  </si>
  <si>
    <t>Если сведения о наименовании межбюджетного трансферта, распределенного по муниципальным образованиям, не указывают однозначно на форму межбюджетного трансферта, то такие межбюджетные трансферты не учитываются в целях оценки показателя.</t>
  </si>
  <si>
    <t xml:space="preserve">В целях оценки показателя для определения общего объема субсидий, предоставляемых местным бюджетам в 2023 году, используются сведения об общем объеме субсидий местным бюджетам на 2023 год, непосредственно содержащиеся в текстовой части закона о бюджете и (или) приложении к нему, или осуществляется расчет по ведомственной структуре расходов с использованием вида расходов 520 или 521, 522 и 523 (если такая детализация имеется). В случае осуществления расчета для определения общего объема субсидий применяется понижающий коэффициент, используемый в связи с затрудненным поиском бюджетных данных. В случае, если определить общий объем субсидий местным бюджетам на 2023 год указанными способами не представляется возможным, то оценка показателя принимает значение «0 (ноль) баллов». </t>
  </si>
  <si>
    <t>В случае, если законом о бюджете субъекта Российской Федерации (за исключением городов федерального значения) субсидии местным бюджетам на 2023 год не предусмотрены, то для соответствующего субъекта Российской Федерации оценка показателя принимает значение «0 (ноль) баллов». Для городов федерального значения оценка показателя не осуществляется, производится корректировка максимального количества баллов.</t>
  </si>
  <si>
    <t>75 – 100 %</t>
  </si>
  <si>
    <t>50 – 74,9 %</t>
  </si>
  <si>
    <t>Менее 50 % или расчет показателя затруднен</t>
  </si>
  <si>
    <t xml:space="preserve">АНКЕТА ДЛЯ СОСТАВЛЕНИЯ РЕЙТИНГА СУБЪЕКТОВ РОССИЙСКОЙ ФЕДЕРАЦИИ ПО УРОВНЮ ОТКРЫТОСТИ БЮДЖЕТНЫХ ДАННЫХ В 2023 ГОДУ </t>
  </si>
  <si>
    <t>1.1 Размещен ли первоначально принятый закон о бюджете на 2023 год и на плановый период 2024 и 2025 годов в открытом доступе на сайте, предназначенном для размещения бюджетных данных?</t>
  </si>
  <si>
    <t>1.2 Содержится ли в составе закона о бюджете приложение (приложения) о прогнозируемых объемах поступлений по видам доходов на 2023 год и на плановый период 2024 и 2025 годов?</t>
  </si>
  <si>
    <t>1.3 Содержится ли в составе закона о бюджете приложение (приложения) о распределении бюджетных ассигнований по разделам и подразделам классификации расходов бюджетов на 2023 год и на плановый период 2024 и 2025 годов?</t>
  </si>
  <si>
    <t>1.4 Содержатся ли в составе закона о бюджете сведения об общем объеме межбюджетных трансфертов, предоставляемых другим бюджетам бюджетной системы Российской Федерации в 2023 году и плановом периоде 2024 и 2025 годов, с детализацией по соответствующим бюджетам и формам межбюджетных трансфертов?</t>
  </si>
  <si>
    <t>1.5 Какая доля субсидий местным бюджетам на 2023 год распределена законом о бюджете по муниципальным образованиям (в процентах от общего объема субсидий, предусмотренных местным бюджетам законом о бюджете на 2023 год), и сведения о таком распределении представлены комплексно в соответствующем приложении (приложениях) к закону о бюджете?</t>
  </si>
  <si>
    <r>
      <t xml:space="preserve">Результаты оценки уровня открытости бюджетных данных субъектов Российской Федерации по разделу 1 "Первоначально утвержденный бюджет" за 2023 год </t>
    </r>
    <r>
      <rPr>
        <sz val="9"/>
        <rFont val="Times New Roman"/>
        <family val="1"/>
        <charset val="204"/>
      </rPr>
      <t>(группировка по федеральным округам)</t>
    </r>
  </si>
  <si>
    <t>Исходные данные и оценка показателя "1.1 Размещен ли первоначально принятый закон о бюджете на 2023 год и на плановый период 2024 и 2025 годов в открытом доступе на сайте, предназначенном для размещения бюджетных данных?"</t>
  </si>
  <si>
    <t>Исходные данные и оценка показателя "1.2 Содержится ли в составе закона о бюджете приложение (приложения) о прогнозируемых объемах поступлений по видам доходов на 2023 год и на плановый период 2024 и 2025 годов?"</t>
  </si>
  <si>
    <t>Исходные данные и оценка показателя "1.3 Содержится ли в составе закона о бюджете приложение (приложения) о распределении бюджетных ассигнований по разделам и подразделам классификации расходов бюджетов на 2023 год и на плановый период 2024 и 2025 годов?"</t>
  </si>
  <si>
    <t>Источник данных: Закон субъекта РФ о бюджете на 2023 год и на плановый период 2024 и 2025 годов</t>
  </si>
  <si>
    <t>119-ОЗ</t>
  </si>
  <si>
    <t>14</t>
  </si>
  <si>
    <t>9</t>
  </si>
  <si>
    <t>8</t>
  </si>
  <si>
    <t>19, 20</t>
  </si>
  <si>
    <t>6, 8</t>
  </si>
  <si>
    <t>11, 11а, 12, 12а, 12.1, 12.1а, 12.2, 12.2а, 12.3, 12.3а, 12.4, 12.4а</t>
  </si>
  <si>
    <t>6-7, 9</t>
  </si>
  <si>
    <t>20</t>
  </si>
  <si>
    <t>44</t>
  </si>
  <si>
    <t>7</t>
  </si>
  <si>
    <t>прил. 16 (табл. 56-70, 72-80, 85-88, 90, 92-93)</t>
  </si>
  <si>
    <t>прил. 17 (табл. 3-61)</t>
  </si>
  <si>
    <t>прил. 11 (табл. 4-36)</t>
  </si>
  <si>
    <t>прил. 19 (табл. 2-56)</t>
  </si>
  <si>
    <t>прил. 14 (табл. 3-32)</t>
  </si>
  <si>
    <t>прил. 13 (табл. 22-56)</t>
  </si>
  <si>
    <t>ст. 26</t>
  </si>
  <si>
    <t>прил. 11 (табл. 3.1-3.41)</t>
  </si>
  <si>
    <t>ст. 21</t>
  </si>
  <si>
    <t>прил. 10 (табл. 21-80)</t>
  </si>
  <si>
    <t>прил. 12 (табл. 7-24)</t>
  </si>
  <si>
    <t>прил. 19 (табл. 4-44, 80-82)</t>
  </si>
  <si>
    <t>прил. 11 (табл. 11-50)</t>
  </si>
  <si>
    <t>прил. 11 (табл. 2-15)</t>
  </si>
  <si>
    <t>ст. 10</t>
  </si>
  <si>
    <t>прил. 11 (табл. 1-19)</t>
  </si>
  <si>
    <t>ст. 56</t>
  </si>
  <si>
    <t>прил. 20 (табл. 3-54)</t>
  </si>
  <si>
    <t>прил. 10 (табл. 5, 8)</t>
  </si>
  <si>
    <t>прил. 19</t>
  </si>
  <si>
    <t>прил. 17 (табл. 11-12, 18-19, 21-24, 26-27, 29-32, 34-37)</t>
  </si>
  <si>
    <t>прил. 16, 18-19</t>
  </si>
  <si>
    <t>прил. 13 (табл. 17-35)</t>
  </si>
  <si>
    <t>прил. 6</t>
  </si>
  <si>
    <t>прил. 11 (табл. 12-15, 23-24)</t>
  </si>
  <si>
    <t>прил. 15 (табл. 3-11)</t>
  </si>
  <si>
    <t>прил. 9 (табл. 22, 24-36)</t>
  </si>
  <si>
    <t xml:space="preserve">Расчет показателя затруднен. Сведения об общем объеме субсидий местным бюджетам на 2023 год в законе отсутствуют. В ведомственной структуре расходов используется вид расходов 500 без детализации. </t>
  </si>
  <si>
    <t>прил. 11-20</t>
  </si>
  <si>
    <t>ст. 18</t>
  </si>
  <si>
    <t>прил. 11 (табл. 44-78)</t>
  </si>
  <si>
    <t>ст. 20</t>
  </si>
  <si>
    <t>прил. 10.1</t>
  </si>
  <si>
    <t>прил. 10 (табл. 2.1-2.42)</t>
  </si>
  <si>
    <t>прил. 17 (табл. 3-26)</t>
  </si>
  <si>
    <t>прил. 9</t>
  </si>
  <si>
    <t>прил. 16 (табл. 18-42)</t>
  </si>
  <si>
    <t>прил. 43-64</t>
  </si>
  <si>
    <t>прил. 16 (табл. 4-81)</t>
  </si>
  <si>
    <t>прил. 38 (табл. 2.1-2.74)</t>
  </si>
  <si>
    <t>прил. 15 (табл. 19-33, 35-39)</t>
  </si>
  <si>
    <t>прил. 39-94</t>
  </si>
  <si>
    <t>прил. 26 (табл. 3-13, 35-44)</t>
  </si>
  <si>
    <t xml:space="preserve">Не соблюдается последовательность представления данных по формам межбюджетных трансфертов в приложении 16 (К1). </t>
  </si>
  <si>
    <t>Исходные данные и оценка показателя "1.5  Какая доля субсидий местным бюджетам на 2023 год распределена законом о бюджете по муниципальным образованиям (в процентах от общего объема субсидий, предусмотренных местным бюджетам законом о бюджете на 2023 год), и сведения о таком распределении представлены комплексно в соответствующем приложении (приложениях) к закону о бюджете?"</t>
  </si>
  <si>
    <t>Исходные данные и оценка показателя "1.4 Содержатся ли в составе закона о бюджете сведения об общем объеме межбюджетных трансфертов, предоставляемых другим бюджетам бюджетной системы Российской Федерации в 2023 году и плановом периоде 2024 и 2025 годов, с детализацией по соответствующим бюджетам и формам межбюджетных трансфертов?"</t>
  </si>
  <si>
    <t xml:space="preserve">Источник данных: Закон субъекта РФ о бюджете на 2023 год и на плановый период 2024 и 2025 годов </t>
  </si>
  <si>
    <t>Наименование субъекта                                                  Российской Федерации</t>
  </si>
  <si>
    <t>http://beldepfin.ru/dokumenty/vse-dokumenty/zakon-belgorodskoj-oblasti-ot-23-dekabrya-20222912/</t>
  </si>
  <si>
    <t>https://bryanskoblfin.ru/open/Show/Content/2236?ParentItemId=278</t>
  </si>
  <si>
    <t>https://df.ivanovoobl.ru/regionalnye-finansy/zakon-ob-oblastnom-byudzhete/</t>
  </si>
  <si>
    <t>https://kursk.ru/region/economy/page-153264/</t>
  </si>
  <si>
    <t>https://portal.tverfin.ru/Menu/Page/645</t>
  </si>
  <si>
    <t>http://minfin.karelia.ru/2023-2025-gody/</t>
  </si>
  <si>
    <t>https://finance.lenobl.ru/ru/pravovaya-baza/oblastnoe-zakondatelstvo/byudzhet-lo/ob2023/</t>
  </si>
  <si>
    <t>https://minfin.novreg.ru/2023-god-prinyatye-oblastnye-zakony.html</t>
  </si>
  <si>
    <t>нет (по состоянию на 13.02.2023)</t>
  </si>
  <si>
    <t>https://minfin.krasnodar.ru/activity/byudzhet/zakony-o-kraevom-byudzhete/year-2023</t>
  </si>
  <si>
    <t>не размещено: https://fin.sev.gov.ru/pravovye-aktu/regionalnye-npa/regionalnye-npa-2021/</t>
  </si>
  <si>
    <t>В срок надлежащей практики (по состоянию на 14.02.2023) не размещен.</t>
  </si>
  <si>
    <t>https://mfri.ru/index.php/open-budget/pervonachalno-utverzhdennyj-byudzhet</t>
  </si>
  <si>
    <t>http://minfin09.ru/category/load/%d0%b1%d1%8e%d0%b4%d0%b6%d0%b5%d1%82-%d1%80%d0%b5%d1%81%d0%bf%d1%83%d0%b1%d0%bb%d0%b8%d0%ba%d0%b8/2021/</t>
  </si>
  <si>
    <t>нет (по состоянию на 14.02.2023)</t>
  </si>
  <si>
    <t>не размещено: https://minfinchr.ru/deyatelnost/otkrytyj-byudzhet/pervonachalno-utverzhdennyj-byudzhet</t>
  </si>
  <si>
    <t>не размещено: http://forcitizens.ru/o-byudzhete/dokumentatsiya#13-24-zakon-o-byudzhete</t>
  </si>
  <si>
    <t>https://mari-el.gov.ru/ministries/minfin/pages/ZakRespORespBudg/</t>
  </si>
  <si>
    <t>https://www.minfinrm.ru/norm-akty-new/zakony/norm-prav-akty/budget-2022/</t>
  </si>
  <si>
    <t>https://www.mfur.ru/budjet/formirovanie/2023-god.php</t>
  </si>
  <si>
    <t>https://www.minfin.kirov.ru/otkrytyy-byudzhet/dlya-spetsialistov/oblastnoy-byudzhet/%d0%9f%d0%bb%d0%b0%d0%bd%d0%b8%d1%80%d0%be%d0%b2%d0%b0%d0%bd%d0%b8%d0%b5%20%d0%b1%d1%8e%d0%b4%d0%b6%d0%b5%d1%82%d0%b0/byudzhet/%d0%9f%d0%bb%d0%b0%d0%bd%d0%b8%d1%80%d0%be%d0%b2%d0%b0%d0%bd%d0%b8%d0%b5%20%d0%b1%d1%8e%d0%b4%d0%b6%d0%b5%d1%82%d0%b0/</t>
  </si>
  <si>
    <t>https://mf.orb.ru/activity/26541/</t>
  </si>
  <si>
    <t>https://admtyumen.ru/ogv_ru/finance/finance/bugjet/more.htm?id=11938559@cmsArticle</t>
  </si>
  <si>
    <t>https://minfin74.ru/minfin/activities/budget/law/2023-2025.htm</t>
  </si>
  <si>
    <t>https://www.yamalfin.ru/index.php?option=com_content&amp;view=section&amp;id=53&amp;Itemid=156</t>
  </si>
  <si>
    <t>https://minfin.rtyva.ru/node/23572/</t>
  </si>
  <si>
    <t>http://openbudget.gfu.ru/budget/law/</t>
  </si>
  <si>
    <t>https://www.ofukem.ru/budget/laws2022-2024/</t>
  </si>
  <si>
    <t>https://mf.omskportal.ru/oiv/mf/otrasl/otkrbudg/obl-budget/2023%E2%80%932025</t>
  </si>
  <si>
    <t>https://minfin.sakha.gov.ru/zakony-o-bjudzhete/2023-2025-gg</t>
  </si>
  <si>
    <t>https://minfin.75.ru/byudzhet/konsolidirovannyy-kraevoy-byudzhet/zakony-o-byudzhete</t>
  </si>
  <si>
    <t>http://publication.pravo.gov.ru/Document/View/2500202212200003</t>
  </si>
  <si>
    <t>https://minfin.khabkrai.ru/portal/Show/Category/34?ItemId=227</t>
  </si>
  <si>
    <t>https://openbudget.49gov.ru/dokumenty#209-2023-god</t>
  </si>
  <si>
    <t>https://xn--80atapud1a.xn--p1ai/depfin/about/struktura-i-sostav/upravlenie-finansov/napravleniya-raboty/okruzhnoy-byudzhet/zakon-na-ocherednoy-finansovyy-god-i-na-planovyy-period.php</t>
  </si>
  <si>
    <t>https://bryanskoblfin.ru/Show/Category/10?ItemId=4</t>
  </si>
  <si>
    <t>Перечень и наименования приложений представлены в отдельном файле.</t>
  </si>
  <si>
    <t>https://finance.pskov.ru/ob-upravlenii/pravovaya-baza</t>
  </si>
  <si>
    <t>Размещен в разделе "О Комитете / Правовая база", поиск затруднен (К1). Документ не структурирован (К2).</t>
  </si>
  <si>
    <t>https://portal-ob.volgafin.ru/dokumenty/zakon_o_byudzhete/2022</t>
  </si>
  <si>
    <t>На сайте финансового органа используется наименование архива, скачиваемого по ссылке, - "PROEKT-ZAKONA-2023", основание для применения К2. Учтен закон, размещенный на специализированном портале.</t>
  </si>
  <si>
    <t>не размещено: hhttp://portal.minfinrd.ru/Menu/Page/1129</t>
  </si>
  <si>
    <t>На сайте финансового органа наименования приложений не отражают содержание, используются только номера, основание для применения К2. Учтен закон, размещенный на специализированном портале.</t>
  </si>
  <si>
    <t>Документ не структурирован (К2).</t>
  </si>
  <si>
    <t>нет (частично)</t>
  </si>
  <si>
    <t>Документ структурирован частично (К2).</t>
  </si>
  <si>
    <t>г. Москва </t>
  </si>
  <si>
    <t>г. Санкт-Петербург </t>
  </si>
  <si>
    <t>Республика Северная Осетия – Алания</t>
  </si>
  <si>
    <t>Республика Марий Эл</t>
  </si>
  <si>
    <t>Чувашская Республика – Чувашия</t>
  </si>
  <si>
    <t>Нижегородская область </t>
  </si>
  <si>
    <t>Ханты-Мансийский автономный округ – Югра</t>
  </si>
  <si>
    <t>Кемеровская область – Кузбасс</t>
  </si>
  <si>
    <t>Приморский край </t>
  </si>
  <si>
    <t>Наименование субъекта             Российской Федерации</t>
  </si>
  <si>
    <t>Объем межбюджетных трансфертов бюджетам государственных внебюджетных фондов Российской Федерации</t>
  </si>
  <si>
    <t>Наименование субъекта          Российской Федерации</t>
  </si>
  <si>
    <t>Фонду пенсионного и социального страхования РФ</t>
  </si>
  <si>
    <t>Представлены в полном объеме сведения об объемах межбюджетных трансфертов другим бюджетам бюджетной системы РФ (кроме местных бюджетов)</t>
  </si>
  <si>
    <t>Наличие в текстовой части закона о бюджете или в приложениях к нему сведений об общем объеме межбюджетных трансфертов, предоставляемых другим бюджетам бюджетной системы РФ (кроме местных бюджетов) на 2023 год (в тыс. рублей)</t>
  </si>
  <si>
    <t>Проверочный расчет достоверности данных об общем объеме межбюджетных трансфертов местным бюджетам</t>
  </si>
  <si>
    <t>Расчет общего объема межбюджетных трансфертов, предоставляемых другим бюджетам бюджетной системы РФ (сумма граф M и V)</t>
  </si>
  <si>
    <t>Объем расходов на предоставление межбюджетных трансфертов другим бюджетам бюджетной системы по ВР 500 (расчет по ведомственной структуре расходов)</t>
  </si>
  <si>
    <t xml:space="preserve">Федеральному фонду ОМС </t>
  </si>
  <si>
    <t>https://fin.tmbreg.ru/6347/2010.html</t>
  </si>
  <si>
    <t>Оценены сведения в части местных бюджетов. В части расходов на страховые взносы по обязательному медицинскому страхованию неработающего населения в текстовой части закона указаны недостоверные данные, по ведомственной структуре расходов бюджета указанные расходы не являются межбюджетными трансфертами.</t>
  </si>
  <si>
    <t>Сведения об общем объеме дотаций местным бюджетам не указаны, представлены сведения по нескольким позициям, в целях оценки показателя произведено их суммирование (К1).</t>
  </si>
  <si>
    <t>Межбюджетные трансферты государственным внебюджетным фондам указаны без конкретизации фондов.</t>
  </si>
  <si>
    <t>Оценены сведения в части местных бюджетов. В части межбюджетных трансфертов Фонду пенсионного и социального страхования РФ в статье 13 представлены недостоверные данные (отличаются от указанных в ведомственной структуре расходов).</t>
  </si>
  <si>
    <t>Оценены сведения в части местных бюджетов. Сведения об общем объеме дотаций местным бюджетам не указаны, представлены сведения по нескольким позициям, в целях оценки показателя произведено их суммирование (К1). Сведения об объеме межбюджетных трансфертов другим бюджетам бюджетной системы (кроме местных бюджетов) представлены частично (не отражены межбюджетные трансферты Фонду пенсионного и социального страхования).</t>
  </si>
  <si>
    <t>Представлены недостоверные данные в части иных межбюджетных трансфертов местным бюджетам (указаны дважды, должно быть "в том числе").</t>
  </si>
  <si>
    <t xml:space="preserve">Оценены сведения в части местных бюджетов. В части объема межбюджетных трансфертов, предоставляемых Фонду пенсионного и социального страхования РФ, в статье 19 закона используется некорректная формулировка: "Средства федерального бюджета, передаваемые бюджету Фонда пенсионного и социального страхования Российской Федерации", соответствующие объемы межбюджетных трансфертов не учитываются в целях оценки показателя. </t>
  </si>
  <si>
    <t>56, 60</t>
  </si>
  <si>
    <t>Оценены сведения в части местных бюджетов. Сведения об общем объеме субсидий бюджетам поселений не указаны, представлены сведения по нескольким позициям, в целях оценки показателя произведено их суммирование (К1). В части межбюджетных трансфертов, предоставляемых другим бюджетам бюджетной системы РФ (кроме местных бюджетов), в текстовой части сведения представлены частично (вероятно, не учтено бюджетное ассигнование с КБК 849 10 01 1610052900 500). В части расходов на страховые взносы по обязательному медицинскому страхованию неработающего населения в текстовой части закона указаны недостоверные данные, по ведомственной структуре расходов бюджета указанные расходы не являются межбюджетными трансфертами.</t>
  </si>
  <si>
    <t>Оценены сведения в части местных бюджетов. В части межбюджетных трансфертов, предоставляемых другим бюджетам бюджетной системы РФ (кроме местных бюджетов), в текстовой части сведения представлены частично (не учтено бюджетное ассигнование с КБК 855 10 03 0910100 540). В части расходов на страховые взносы по обязательному медицинскому страхованию неработающего населения в текстовой части закона указаны недостоверные данные, по ведомственной структуре расходов бюджета указанные расходы не являются межбюджетными трансфертами (ВР 320).</t>
  </si>
  <si>
    <t>Проверочный расчет: сумма межбюджетных трансфертов, предоставляемых местным бюджетам, указанных в законе</t>
  </si>
  <si>
    <t>Проверочный расчет: сумма межбюджетных трансфертов, предоставляемых другим бюджетам бюджетной системы РФ (кроме местных бюджетов), указанных в законе</t>
  </si>
  <si>
    <t>16, 17</t>
  </si>
  <si>
    <t>Оценены сведения в части местных бюджетов. В части межбюджетных трансфертов, предоставляемых другим бюджетам бюджетной системы РФ (кроме местных бюджетов), в текстовой части сведения представлены частично (вероятно, не учтено бюджетное ассигнование с КБК 855 09 09 9990028360 500). В части расходов на страховые взносы на обязательное медицинское страхование неработающего населения в текстовой части закона указаны недостоверные данные, по ведомственной структуре расходов бюджета указанные расходы не являются межбюджетными трансфертами (отражены по ВР 300).</t>
  </si>
  <si>
    <t>Сведений недостаточно для оценки показателя.</t>
  </si>
  <si>
    <t>10–12</t>
  </si>
  <si>
    <t>17–20</t>
  </si>
  <si>
    <t>11–16</t>
  </si>
  <si>
    <t>12–14</t>
  </si>
  <si>
    <t>10–15</t>
  </si>
  <si>
    <t>23–25</t>
  </si>
  <si>
    <t>8, 10–13</t>
  </si>
  <si>
    <t>4, 10–14</t>
  </si>
  <si>
    <t>15–16, 18</t>
  </si>
  <si>
    <t>1, 19–23</t>
  </si>
  <si>
    <t>25, 26, 29–32</t>
  </si>
  <si>
    <t>7, 13–15</t>
  </si>
  <si>
    <t>8–10</t>
  </si>
  <si>
    <t xml:space="preserve">Общий объем дотаций местным бюджетам не указан, представлены сведения по нескольким позициям, в целях оценки показателя произведено их суммирование (К1). </t>
  </si>
  <si>
    <t>16–22</t>
  </si>
  <si>
    <t xml:space="preserve">Нет </t>
  </si>
  <si>
    <t xml:space="preserve">Сведений недостаточно для оценки показателя. В приложении 10 представлены общие объемы межбюджетных трансфертов с детализацией по формам, но не указано, каким именно бюджетам бюджетной системы они предназначены. Согласно ведомственной структуре расходов субвенции предусмотрены не только местным бюджетам, но и федеральному бюджету. </t>
  </si>
  <si>
    <t xml:space="preserve">Сведений недостаточно для оценки показателя. </t>
  </si>
  <si>
    <t>6, 10</t>
  </si>
  <si>
    <t>Общий объем межбюджетных трансфертов местным бюджетам</t>
  </si>
  <si>
    <t>Оценены сведения в части местных бюджетов. В части межбюджетных трансфертов, предоставляемым другим бюджетам бюджетной системы РФ (кроме местных бюджетов), сведения представлены частично (не указан межбюджетный трансферт Фонду пенсионного и социального страхования РФ в объеме 28000 тыс. рублей).</t>
  </si>
  <si>
    <t>В части 2 статьи 9 используются некорректные формулировки (часть расчетной дотации, замененная нормативом отчислений от налога, перестает быть дотацией).</t>
  </si>
  <si>
    <t>Оценены сведения в части местных бюджетов. В части межбюджетных трансфертов, предоставляемым другим бюджетам бюджетной системы РФ (кроме местных бюджетов), сведения представлены частично (не указаны межбюджетные трансферты Фонду пенсионного и социального страхования РФ).</t>
  </si>
  <si>
    <t>Дотации на выравнивание бюджетной обеспеченности заменены дополнительными нормативами отчислений (см. статью 6). Межбюджетные трансферты другим бюджетам бюджетной системы РФ (кроме местных бюджетов) не предусмотрены.</t>
  </si>
  <si>
    <t>Оценены сведения в части местных бюджетов. В части расходов на страховые взносы по обязательному медицинскому страхованию неработающего населения в текстовой части закона указаны недостоверные данные, согласно ведомственной структуре расходов бюджета указанные расходы не являются межбюджетными трансфертами. Сведения об объеме межбюджетных трансфертов, предоставляемых другим бюджетам бюджетной системы (кроме местных бюджетов), в текстовой части закона не представлены.</t>
  </si>
  <si>
    <t>Межбюджетные трансферты государственным внебюджетным фондам указаны без конкретизации фондов, предусмотрены средства Фонду пенсионного и социального страхования РФ и Территориальному фонду обязательного медицинского страхования.</t>
  </si>
  <si>
    <t>Оценены сведения в части местных бюджетов. Сведения об объеме межбюджетных трансфертов, предоставляемых другим бюджетам бюджетной системы (кроме местных бюджетов), в текстовой части закона представлены частично (в том числе ТФОМС).</t>
  </si>
  <si>
    <t>Оценены сведения в части местных бюджетов. Сведения об объеме межбюджетных трансфертов, предоставляемых другим бюджетам бюджетной системы (кроме местных бюджетов), в текстовой части закона не представлены. Согласно ведомственной структуре бюджета предусмотрены межбюджетные трансферты Фонду пенсионного и социального страхования РФ и, вероятно, территориальному фонду обязательного медицинского страхования.</t>
  </si>
  <si>
    <t xml:space="preserve">Оценены сведения в части местных бюджетов. Разница в объеме 0,3 тыс. рублей расценена как результат округлений. В части межбюджетных трансфертов, предоставляемым другим бюджетам бюджетной системы РФ (кроме местных бюджетов), сведения не представлены. Согласно ведомственной структуре расходов бюджета предусмотрен межбюджетный трансферт Фонду пенсионного и социального страхования РФ.  </t>
  </si>
  <si>
    <t xml:space="preserve">Оценены сведения в части местных бюджетов. В части межбюджетных трансфертов, предоставляемым другим бюджетам бюджетной системы РФ (кроме местных бюджетов), сведения не представлены. Согласно ведомственной структуре расходов бюджета предусмотрены межбюджетные трансферты федеральному бюджету и Фонду пенсионного и социального страхования РФ.  </t>
  </si>
  <si>
    <t>Оценены сведения в части местных бюджетов. Сведения об объеме межбюджетных трансфертов, предоставляемых другим бюджетам бюджетной системы (кроме местных бюджетов), в текстовой части закона не представлены. Согласно ведомственной структуре расходов бюджета предусмотрены межбюджетные трансферты федеральному бюджету, бюджетам ХМАО И ЯНАО, внебюджетным фондам, определить, каким именно бюджетам и сколько предусмотрено межбюджетных трансфертов, невозможно.</t>
  </si>
  <si>
    <t>Оценены сведения в части местных бюджетов. Сведения об объеме межбюджетных трансфертов, предоставляемых другим бюджетам бюджетной системы (кроме местных бюджетов), в текстовой части закона не представлены. Согласно ведомственной структуре расходов бюджета предусмотрены межбюджетные трансферты Фонду пенсионного и социального страхования РФ.</t>
  </si>
  <si>
    <t>Оценены сведения в части местных бюджетов. Сведения об объеме межбюджетных трансфертов, предоставляемых другим бюджетам бюджетной системы (кроме местных бюджетов), в текстовой части закона не представлены. Согласно ведомственной структуре расходов бюджета предусмотрены межбюджетные трансферты Фонду пенсионного и социального страхования РФ и федеральному бюджету.</t>
  </si>
  <si>
    <t xml:space="preserve">Оценены сведения в части местных бюджетов. В части межбюджетных трансфертов, предоставляемым другим бюджетам бюджетной системы РФ (кроме местных бюджетов), сведения не представлены, Согласно ведомственной структуре расходов бюджета предусмотрены межбюджетные трансферты федеральному бюджету и, вероятно, Фонду пенсионного и социального страхования РФ.  </t>
  </si>
  <si>
    <t>Оценены сведения в части местных бюджетов. Сведения об объеме межбюджетных трансфертов, предоставляемых другим бюджетам бюджетной системы (кроме местных бюджетов), в текстовой части закона не представлены. Согласно ведомственной структуре расходов бюджета предусмотрены межбюджетные трансферты федеральному бюджету, бюджету Ленинградской области, Фонду  пенсионного и социального страхования РФ и территориальному фонду обязательного медицинского страхования.</t>
  </si>
  <si>
    <t xml:space="preserve">Сведений недостаточно для оценки показателя. В статье 56 не указан общий объем дотаций местным бюджетам, также не указано, каким уровням бюджетов предназначены субсидии, субвенции и иные межбюджетные трансферты. </t>
  </si>
  <si>
    <t xml:space="preserve">Сведений недостаточно для оценки показателя. В части местных бюджетов сведения требуемой детализации не представлены. </t>
  </si>
  <si>
    <t>Указано в законе (недостоверные данные)</t>
  </si>
  <si>
    <t>Недостоверные данные</t>
  </si>
  <si>
    <t>В законе указаны недостоверные данные об общем объеме субсидий.</t>
  </si>
  <si>
    <t>В законе указаны недостоверные данные об общем объеме межбюджетных трансфертов местным бюджетам. Определить, по какой именно форме межбюджетных трансфертов местным бюджетам допущена ошибка, невозможно.</t>
  </si>
  <si>
    <t>Распределено менее 50% субсидий по местным бюджетам. Не соблюдается последовательность представления данных по формам межбюджетных трансфертов в приложении 9 (основание для применения К1).</t>
  </si>
  <si>
    <t>Представлены недостоверные данные. Сумма объемов бюджетных ассигнований на предоставление межбюджетных трансфертов, указанных в статье 5, не совпадает с суммой объемов бюджетных ассигнований, указанных в ведомственной структуре расходов по виду расходов 500. (Вероятно, в статье 5 не учтено бюджетное ассигнование с КБК 840 14 02 1110150100 500 (дотации) объемом 49 549 тыс. рублей). В части дотации на выравнивание бюджетной обеспеченности муниципальных округов, городских округов используется некорректная формулировка (объем дотации указан с учетом средств, передаваемых муниципальным образованиям по дополнительным нормативам отчислений).</t>
  </si>
  <si>
    <t>Представлены недостоверные данные. Объем средств на предоставление межбюджетных трансфертов другим бюджетам бюджетной системы РФ, указанный в статье 20 закона, на 864 273 тыс. рублей отличается от объема средств, предусмотренного в ведомственной структуре расходов по виду расходов 500. Определить, где именно допущена ошибка, невозможно.</t>
  </si>
  <si>
    <t>В законе указаны недостоверные данные об общем объеме межбюджетных трансфертов, в том числе в части местных бюджетов. Определить, по какой именно форме межбюджетных трансфертов местным бюджетам допущена ошибка, невозможно.</t>
  </si>
  <si>
    <t>Распределено менее 50% субсидий. Для определения общего объема субсидий произведен расчет с использованием ВР 520 (основание для применения К1).</t>
  </si>
  <si>
    <t xml:space="preserve">Представлены недостоверные данные. Общий объем межбюджетных трансфертов, указанный в текстовой части закона, на 5 320,1 тыс. рублей отличается от рассчитанного общего объема межбюджетных по ВР 500. Вероятно, в тексте закона не учтена субсидия с КБК 745 36407R5191 520. Сведения об общем объеме дотаций местным бюджетам и об общем объеме иных межбюджетных трансфертов местным бюджетам не указаны, представлены сведения по нескольким позициям, в целях оценки произведено их суммирование (основание для применения К1). </t>
  </si>
  <si>
    <t>прил. 31</t>
  </si>
  <si>
    <t>прил. 17, 19-21</t>
  </si>
  <si>
    <t>Представлены недостоверные данные. Объем средств на предоставление межбюджетных трансфертов, указанный в статье 7 закона, на 1,9 тыс. рублей отличается от объема межбюджетных трансфертов, предусмотренного в ведомственной структуре расходов по ВР 500 (в том числе га 1,8 тыс. рублей - в части межбюджетных трансфертов местным бюджетам).</t>
  </si>
  <si>
    <t xml:space="preserve">Если в законе о бюджете представлены сведения об объемах отдельных межбюджетных трансфертов одной формы для одного типа бюджетов (например, дотации местным бюджетам) и количество таких видов межбюджетных трансфертов составляет более трех, но при этом возможно рассчитать общий объем таких межбюджетных трансфертов, показатель оценивался с применением понижающего коэффициента. </t>
  </si>
  <si>
    <t>Серым цветом в ячейках обозначены недостоверные данные.</t>
  </si>
  <si>
    <t>Представлены недостоверные сведения об общем объеме межбюджетных трансфертов в статье 7 закона (41 327 175,2 тыс. рублей), в ведомственной структуре расходов расходы по ВР 500 составляют 41 227 125,4 тыс. руб., что на 100 000 тыс. руб. меньше. Сумма указанных в статье 7 общих объемов межбюджетных трансфертов по уровням бюджетов и формам трансфертов также не совпадает с рассчитанным общим объемом расходов по ВР 500 ведомственной структуры расходов бюджета (разница составляет 1 131,7 тыс. руб.).</t>
  </si>
  <si>
    <t>В законе представлены недостоверные данные об объеме субсидий, распределенных по муниципальным образованиям (объем распределенных субсидий составляет 29 119 512,4 тыс. рублей, что превышает их общий объем). Вероятно, в таблице 34 приложения 17 указаны суммы в рублях. Не соблюдается последовательность представления данных по формам межбюджетных трансфертов в приложении 17 (основание для применения К1).</t>
  </si>
  <si>
    <t xml:space="preserve">В некоторых таблицах информация представлена в руб., а в некоторых в тыс. руб., рекомендуется использовать одинаковые единицы измерения. </t>
  </si>
  <si>
    <t>Распределено по муниципальным образованиям менее 50% субсидий. Для определения общего объема субсидий произведен расчет по ведомственной структуре расходов с использованием ВР 520, не соблюдается последовательность представления данных по формам межбюджетных трансфертов в приложении 14 (К1).</t>
  </si>
  <si>
    <t>В законе указаны недостоверные данные об общем объеме межбюджетных трансфертов. Определить, где именно допущена ошибка, невозможно.</t>
  </si>
  <si>
    <t>Общий объем субсидий местным бюджетам, тыс. рублей</t>
  </si>
  <si>
    <t>В законе указаны недостоверные данные. Объем распределенных по муниципальным образованиям субсидий на 1 229,3 тыс. рублей превышает общий объем субсидий местным бюджетам, указанный в статье 7 закона.</t>
  </si>
  <si>
    <t>Представлены недостоверные данные в части субсидий местным бюджетам. Объем распределенных по муниципальным образованиям субсидий на 1 229,3 тыс. рублей превышает общий объем субсидий местным бюджетам, указанный в статье 7 закона. Согласно ведомственной структуре расходов бюджета предусмотрены  межбюджетные трансферты Фонду пенсионного и социального страхования РФ (в объеме 103 367,0 тыс. рублей). Для субсидии с КБК 911 04 08 8400269050 500 (3 579,0 тыс. рублей) определить, какому бюджету (бюджетам) она предназначена, из закона о бюджете невозможно.</t>
  </si>
  <si>
    <t xml:space="preserve">прил. 13 </t>
  </si>
  <si>
    <t>Сведения из таблицы 129 не учтены в расчетах, непонятно, р каких формах межбюджетных трансфертов идет речь.</t>
  </si>
  <si>
    <t>Распределено по муниципальным образованиям менее 50% субсидий.</t>
  </si>
  <si>
    <t>В расчете использован общий объем субсидий, предоставляемым другим бюджетам бюджетной системы РФ, указанный в приложении 10 к закону.</t>
  </si>
  <si>
    <t>В расчете использован общий объем субсидий, предоставляемым другим бюджетам бюджетной системы РФ, указанный в части 4 статьи 56 закона.</t>
  </si>
  <si>
    <t>Указано в законе (без детализации по уровням бюджетов)</t>
  </si>
  <si>
    <t>** В целях оценки показателя из объема распределенных по муниципальным образованиям субсидий исключены нераспределенные средства.</t>
  </si>
  <si>
    <t>Сведений недостаточно для оценки показателя. В части местных бюджетов сведения об общих объемах межбюджетных трансфертов с детализацией по их формам не представлены, в части дотаций и субсидий произведен расчет отдельных составляющих. В части расходов на страховые взносы по обязательному медицинскому страхованию неработающего населения в текстовой части закона указаны недостоверные данные, по ведомственной структуре расходов бюджета указанные расходы не являются межбюджетными трансфертами.</t>
  </si>
  <si>
    <t>Расчет на основе приложения 20.</t>
  </si>
  <si>
    <t>прил. 20 (отдельные составляющие).</t>
  </si>
  <si>
    <t>Сведения об общем объеме субсидий местным бюджетам на 2023 год в законе отсутствуют, произведен расчет на основе приложения 20 (К1). Не соблюдается последовательность представления данных по формам межбюджетных трансфертов (К1).</t>
  </si>
  <si>
    <t>Нет (представлено ограничено)</t>
  </si>
  <si>
    <t>Налоговые доходы не детализированы по статьям, недостаточно для оценки показателя.</t>
  </si>
  <si>
    <t>Наличие в текстовой части закона о бюджете или в приложениях к нему сведений об общем объеме межбюджетных трансфертов, предоставляемых местным бюджетам на 2023 год (в тыс. рублей)</t>
  </si>
  <si>
    <t>Объем межбюджетных трансфертов бюджетам других субъектов РФ</t>
  </si>
  <si>
    <t>Наименование субъекта        Российской Федерации</t>
  </si>
  <si>
    <t>Не соблюдается последовательность представления данных по формам межбюджетных трансфертов (межбюджетные трансферты сгруппированы по государственным программам и их подпрограммам), К1.</t>
  </si>
  <si>
    <t>В законе указаны недостоверные данные о распределении субсидий. Согласно приложению 11 распределено по муниципальным образованиям 1 368 012 776,0 тыс. рублей, нераспределенный остаток - 215 371 200 рублей, что в сумме составляет 1 583 383 976 рублей, при этом в статье 11 и приложении 11 указан общий объем субсидий местным бюджетам 1 383 383 976 рублей, такую же цифру дает расчет по ведомственной структуре расходов бюджета.</t>
  </si>
  <si>
    <t>Наименование субъекта     Российской Федерации</t>
  </si>
  <si>
    <t>Наименование субъекта         Российской Федерации</t>
  </si>
  <si>
    <t>Представлены недостоверные данные в части местных бюджетов (сумма составляющих на 3 557,9 тыс. рублей больше общего объема межбюджетных трансфертов, указанного в тексте закона). В составе ведомственной структуры расходов бюджета предусмотрены межбюджетные трансферты  федеральному бюджету, Фонду пенсионного и социального страхования РФ.</t>
  </si>
  <si>
    <t xml:space="preserve">Представлены недостоверные данные. В Приложении 18 субвенция бюджету Пенсионного фонда на предоставление универсального ежемесячного пособия малообеспеченным семьям с детьми до 17 лет и беременным женщинам  в объеме 23 398,4 тыс. рублей указана два раза (в составе субвенций по строке 3 и отдельной строкой 6), при этом в суммарный объем субвенций, указанных по строке 3, а также в суммарный объем расходов на предоставление межбюджетных трансфертов в Приложении 18 данная субвенция не включена. </t>
  </si>
  <si>
    <t>ст. 8, прил. 18</t>
  </si>
  <si>
    <t>Представлены недостоверные данные. Указанный в тексте закона общий объем межбюджетных трансфертов местным бюджетам превышает расчетный объем таких межбюджетных трансфертов, произведенный по ведомственной структуре расходов бюджета. Определить, по какой именно форме межбюджетных трансфертов местным бюджетам допущена ошибка, невозможно.</t>
  </si>
  <si>
    <t>Результаты оценки уровня открытости бюджетных данных субъектов Российской Федерации по разделу 1 "Первоначально утвержденный бюджет" за 2023 год</t>
  </si>
  <si>
    <t>Сведения отсутствуют</t>
  </si>
  <si>
    <t>Мониторинг и оценка показателей раздела 1 проведены в период со 10 февраля по 10 июня 2023 г.</t>
  </si>
  <si>
    <t>Мониторинг и оценка показателя проведены в период с 10 по 16 февраля 2023 г.</t>
  </si>
  <si>
    <t>Мониторинг и оценка показателя проведены в период с 17 по 21 марта 2023 г.</t>
  </si>
  <si>
    <t>Мониторинг и оценка показателя проведены в период с 22 марта по 10 июня 2023 г.</t>
  </si>
  <si>
    <t>Мониторинг и оценка показателей раздела 1 проведены в период с 18 апреля по 10 июня 2023 г.</t>
  </si>
  <si>
    <t>Примечание. *Для городов федерального значения в соответствии с Методикой составления рейтинга оценка показателя не осуществляется, производится корректировка максимального количества баллов.</t>
  </si>
  <si>
    <t>Примечания: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</si>
</sst>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р_._-;\-* #,##0.00_р_._-;_-* &quot;-&quot;??_р_._-;_-@_-"/>
    <numFmt numFmtId="165" formatCode="#,##0.0"/>
    <numFmt numFmtId="166" formatCode="0.0"/>
  </numFmts>
  <fonts count="45">
    <font>
      <sz val="11"/>
      <color theme="1"/>
      <name val="Calibri"/>
      <family val="2"/>
      <charset val="204"/>
      <scheme val="minor"/>
    </font>
    <font>
      <sz val="11"/>
      <color indexed="8"/>
      <name val="Calibri"/>
      <family val="2"/>
    </font>
    <font>
      <sz val="9"/>
      <name val="Times New Roman"/>
      <family val="1"/>
      <charset val="204"/>
    </font>
    <font>
      <i/>
      <sz val="9"/>
      <name val="Times New Roman"/>
      <family val="1"/>
      <charset val="204"/>
    </font>
    <font>
      <b/>
      <i/>
      <sz val="9"/>
      <name val="Times New Roman"/>
      <family val="1"/>
      <charset val="204"/>
    </font>
    <font>
      <b/>
      <sz val="9"/>
      <name val="Times New Roman"/>
      <family val="1"/>
      <charset val="204"/>
    </font>
    <font>
      <sz val="11"/>
      <color theme="1"/>
      <name val="Calibri"/>
      <family val="2"/>
      <charset val="204"/>
      <scheme val="minor"/>
    </font>
    <font>
      <u/>
      <sz val="11"/>
      <color theme="10"/>
      <name val="Calibri"/>
      <family val="2"/>
      <charset val="204"/>
      <scheme val="minor"/>
    </font>
    <font>
      <u/>
      <sz val="11"/>
      <color theme="10"/>
      <name val="Calibri"/>
      <family val="2"/>
      <scheme val="minor"/>
    </font>
    <font>
      <sz val="11"/>
      <color theme="1"/>
      <name val="Calibri"/>
      <family val="2"/>
      <scheme val="minor"/>
    </font>
    <font>
      <sz val="11"/>
      <color rgb="FFFF0000"/>
      <name val="Calibri"/>
      <family val="2"/>
      <charset val="204"/>
      <scheme val="minor"/>
    </font>
    <font>
      <sz val="10"/>
      <color theme="1"/>
      <name val="Times New Roman"/>
      <family val="1"/>
      <charset val="204"/>
    </font>
    <font>
      <sz val="8"/>
      <color theme="1"/>
      <name val="Times New Roman"/>
      <family val="1"/>
      <charset val="204"/>
    </font>
    <font>
      <sz val="8"/>
      <color theme="1"/>
      <name val="Calibri"/>
      <family val="2"/>
      <charset val="204"/>
      <scheme val="minor"/>
    </font>
    <font>
      <b/>
      <sz val="8"/>
      <color theme="1"/>
      <name val="Calibri"/>
      <family val="2"/>
      <charset val="204"/>
      <scheme val="minor"/>
    </font>
    <font>
      <sz val="11"/>
      <color rgb="FFC00000"/>
      <name val="Calibri"/>
      <family val="2"/>
      <charset val="204"/>
      <scheme val="minor"/>
    </font>
    <font>
      <sz val="10"/>
      <color theme="1"/>
      <name val="Calibri"/>
      <family val="2"/>
      <charset val="204"/>
      <scheme val="minor"/>
    </font>
    <font>
      <sz val="9"/>
      <color theme="1"/>
      <name val="Times New Roman"/>
      <family val="1"/>
      <charset val="204"/>
    </font>
    <font>
      <i/>
      <sz val="9"/>
      <color theme="1"/>
      <name val="Times New Roman"/>
      <family val="1"/>
      <charset val="204"/>
    </font>
    <font>
      <sz val="8"/>
      <name val="Calibri"/>
      <family val="2"/>
      <charset val="204"/>
      <scheme val="minor"/>
    </font>
    <font>
      <b/>
      <sz val="9"/>
      <color theme="1"/>
      <name val="Times New Roman"/>
      <family val="1"/>
      <charset val="204"/>
    </font>
    <font>
      <sz val="11"/>
      <name val="Calibri"/>
      <family val="2"/>
      <charset val="204"/>
      <scheme val="minor"/>
    </font>
    <font>
      <sz val="9"/>
      <color rgb="FFFF0000"/>
      <name val="Times New Roman"/>
      <family val="1"/>
      <charset val="204"/>
    </font>
    <font>
      <b/>
      <sz val="10"/>
      <name val="Times New Roman"/>
      <family val="1"/>
      <charset val="204"/>
    </font>
    <font>
      <b/>
      <sz val="11"/>
      <color theme="1"/>
      <name val="Times New Roman"/>
      <family val="1"/>
      <charset val="204"/>
    </font>
    <font>
      <sz val="11"/>
      <color theme="1"/>
      <name val="Times New Roman"/>
      <family val="1"/>
      <charset val="204"/>
    </font>
    <font>
      <i/>
      <sz val="11"/>
      <color theme="1"/>
      <name val="Times New Roman"/>
      <family val="1"/>
      <charset val="204"/>
    </font>
    <font>
      <sz val="11"/>
      <color rgb="FF000000"/>
      <name val="Times New Roman"/>
      <family val="1"/>
      <charset val="204"/>
    </font>
    <font>
      <sz val="9"/>
      <color rgb="FFFF0000"/>
      <name val="Times New Roman"/>
      <family val="1"/>
    </font>
    <font>
      <b/>
      <sz val="11"/>
      <color theme="1"/>
      <name val="Times New Roman"/>
      <family val="1"/>
    </font>
    <font>
      <sz val="11"/>
      <color theme="1"/>
      <name val="Times New Roman"/>
      <family val="1"/>
    </font>
    <font>
      <sz val="9"/>
      <color theme="1"/>
      <name val="Times New Roman"/>
      <family val="1"/>
    </font>
    <font>
      <sz val="11"/>
      <color theme="0"/>
      <name val="Calibri"/>
      <family val="2"/>
      <charset val="204"/>
      <scheme val="minor"/>
    </font>
    <font>
      <sz val="9"/>
      <color rgb="FFFF0000"/>
      <name val="Calibri"/>
      <family val="2"/>
      <charset val="204"/>
      <scheme val="minor"/>
    </font>
    <font>
      <sz val="14"/>
      <color theme="1"/>
      <name val="Times"/>
      <family val="1"/>
    </font>
    <font>
      <b/>
      <sz val="9"/>
      <name val="Times New Roman"/>
      <family val="1"/>
    </font>
    <font>
      <b/>
      <sz val="9"/>
      <color theme="1"/>
      <name val="Times New Roman"/>
      <family val="1"/>
    </font>
    <font>
      <sz val="10"/>
      <color theme="0"/>
      <name val="Times New Roman"/>
      <family val="1"/>
      <charset val="204"/>
    </font>
    <font>
      <sz val="8"/>
      <color theme="0"/>
      <name val="Times New Roman"/>
      <family val="1"/>
      <charset val="204"/>
    </font>
    <font>
      <sz val="8"/>
      <color rgb="FFFF0000"/>
      <name val="Calibri"/>
      <family val="2"/>
      <charset val="204"/>
      <scheme val="minor"/>
    </font>
    <font>
      <sz val="9"/>
      <color theme="0"/>
      <name val="Times New Roman"/>
      <family val="1"/>
    </font>
    <font>
      <sz val="8"/>
      <color theme="1"/>
      <name val="Times New Roman"/>
      <family val="1"/>
    </font>
    <font>
      <i/>
      <sz val="9"/>
      <color theme="1"/>
      <name val="Times New Roman"/>
      <family val="1"/>
    </font>
    <font>
      <u/>
      <sz val="9"/>
      <color theme="0"/>
      <name val="Times New Roman"/>
      <family val="1"/>
    </font>
    <font>
      <sz val="9"/>
      <color rgb="FFC00000"/>
      <name val="Times New Roman"/>
      <family val="1"/>
      <charset val="204"/>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0" tint="-4.9989318521683403E-2"/>
        <bgColor indexed="64"/>
      </patternFill>
    </fill>
  </fills>
  <borders count="6">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s>
  <cellStyleXfs count="6">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1" fillId="0" borderId="0"/>
    <xf numFmtId="0" fontId="9" fillId="0" borderId="0"/>
    <xf numFmtId="164" fontId="6" fillId="0" borderId="0" applyFont="0" applyFill="0" applyBorder="0" applyAlignment="0" applyProtection="0"/>
  </cellStyleXfs>
  <cellXfs count="294">
    <xf numFmtId="0" fontId="0" fillId="0" borderId="0" xfId="0"/>
    <xf numFmtId="0" fontId="11" fillId="0" borderId="0" xfId="0" applyFont="1"/>
    <xf numFmtId="0" fontId="12" fillId="0" borderId="0" xfId="0" applyFont="1"/>
    <xf numFmtId="0" fontId="13" fillId="0" borderId="0" xfId="0" applyFont="1"/>
    <xf numFmtId="4" fontId="13" fillId="0" borderId="0" xfId="0" applyNumberFormat="1" applyFont="1"/>
    <xf numFmtId="0" fontId="14" fillId="0" borderId="0" xfId="0" applyFont="1"/>
    <xf numFmtId="4" fontId="14" fillId="0" borderId="0" xfId="0" applyNumberFormat="1" applyFont="1"/>
    <xf numFmtId="0" fontId="15" fillId="0" borderId="0" xfId="0" applyFont="1"/>
    <xf numFmtId="49" fontId="0" fillId="0" borderId="0" xfId="0" applyNumberFormat="1"/>
    <xf numFmtId="0" fontId="16" fillId="0" borderId="0" xfId="0" applyFont="1" applyAlignment="1">
      <alignment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18" fillId="0" borderId="1" xfId="0" applyFont="1" applyBorder="1" applyAlignment="1">
      <alignment horizontal="center" vertical="center"/>
    </xf>
    <xf numFmtId="166" fontId="2" fillId="0" borderId="1" xfId="3" applyNumberFormat="1" applyFont="1" applyBorder="1" applyAlignment="1">
      <alignment horizontal="center" vertical="center"/>
    </xf>
    <xf numFmtId="0" fontId="12" fillId="0" borderId="0" xfId="0" applyFont="1" applyAlignment="1">
      <alignment horizontal="center"/>
    </xf>
    <xf numFmtId="166" fontId="5"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66" fontId="4" fillId="0" borderId="1" xfId="0" applyNumberFormat="1" applyFont="1" applyBorder="1" applyAlignment="1">
      <alignment horizontal="center" vertical="center" wrapText="1"/>
    </xf>
    <xf numFmtId="166" fontId="3" fillId="0" borderId="1" xfId="0" applyNumberFormat="1" applyFont="1" applyBorder="1" applyAlignment="1">
      <alignment horizontal="center" vertical="center" wrapText="1"/>
    </xf>
    <xf numFmtId="166" fontId="18" fillId="0" borderId="1" xfId="0" applyNumberFormat="1" applyFont="1" applyBorder="1" applyAlignment="1">
      <alignment horizontal="center" vertical="center" wrapText="1"/>
    </xf>
    <xf numFmtId="0" fontId="5" fillId="3" borderId="1" xfId="0" applyFont="1" applyFill="1" applyBorder="1" applyAlignment="1">
      <alignment vertical="center" wrapText="1"/>
    </xf>
    <xf numFmtId="166" fontId="5" fillId="3" borderId="1" xfId="0" applyNumberFormat="1" applyFont="1" applyFill="1" applyBorder="1" applyAlignment="1">
      <alignment vertical="center" wrapText="1"/>
    </xf>
    <xf numFmtId="165" fontId="5" fillId="3" borderId="1" xfId="0" applyNumberFormat="1" applyFont="1" applyFill="1" applyBorder="1" applyAlignment="1">
      <alignment horizontal="center" vertical="center"/>
    </xf>
    <xf numFmtId="166" fontId="5" fillId="3" borderId="1" xfId="0" applyNumberFormat="1" applyFont="1" applyFill="1" applyBorder="1" applyAlignment="1">
      <alignment horizontal="center" vertical="center" wrapText="1"/>
    </xf>
    <xf numFmtId="166" fontId="2" fillId="3" borderId="1" xfId="0" applyNumberFormat="1" applyFont="1" applyFill="1" applyBorder="1" applyAlignment="1">
      <alignment horizontal="center" vertical="center" wrapText="1"/>
    </xf>
    <xf numFmtId="166" fontId="2" fillId="3" borderId="1" xfId="3" applyNumberFormat="1" applyFont="1" applyFill="1" applyBorder="1" applyAlignment="1">
      <alignment horizontal="center" vertical="center"/>
    </xf>
    <xf numFmtId="166" fontId="0" fillId="0" borderId="0" xfId="0" applyNumberFormat="1"/>
    <xf numFmtId="4" fontId="0" fillId="0" borderId="0" xfId="0" applyNumberFormat="1"/>
    <xf numFmtId="0" fontId="2" fillId="0" borderId="0" xfId="0" applyFont="1" applyAlignment="1">
      <alignment vertical="center"/>
    </xf>
    <xf numFmtId="0" fontId="10" fillId="0" borderId="0" xfId="0" applyFont="1"/>
    <xf numFmtId="0" fontId="0" fillId="2" borderId="0" xfId="0" applyFill="1"/>
    <xf numFmtId="0" fontId="17" fillId="0" borderId="0" xfId="0" applyFont="1"/>
    <xf numFmtId="0" fontId="21" fillId="0" borderId="0" xfId="0" applyFont="1"/>
    <xf numFmtId="0" fontId="3" fillId="2" borderId="1" xfId="0" applyFont="1" applyFill="1" applyBorder="1" applyAlignment="1">
      <alignment horizontal="left" vertical="center" wrapText="1"/>
    </xf>
    <xf numFmtId="0" fontId="3" fillId="0" borderId="1" xfId="0" applyFont="1" applyBorder="1" applyAlignment="1">
      <alignment horizontal="left" vertical="center" wrapText="1"/>
    </xf>
    <xf numFmtId="0" fontId="5" fillId="0" borderId="0" xfId="0" applyFont="1" applyAlignment="1">
      <alignment horizontal="left" vertical="center"/>
    </xf>
    <xf numFmtId="0" fontId="23" fillId="0" borderId="0" xfId="0" applyFont="1" applyAlignment="1">
      <alignment horizontal="left" vertical="center"/>
    </xf>
    <xf numFmtId="0" fontId="2" fillId="0" borderId="2" xfId="0" applyFont="1" applyBorder="1" applyAlignment="1">
      <alignment horizontal="left" vertical="center"/>
    </xf>
    <xf numFmtId="0" fontId="21" fillId="0" borderId="2" xfId="0" applyFont="1" applyBorder="1" applyAlignment="1">
      <alignment vertical="center"/>
    </xf>
    <xf numFmtId="14" fontId="13" fillId="0" borderId="0" xfId="0" applyNumberFormat="1" applyFont="1"/>
    <xf numFmtId="0" fontId="18" fillId="2" borderId="1" xfId="0" applyFont="1" applyFill="1" applyBorder="1" applyAlignment="1">
      <alignment horizontal="left" vertical="center" wrapText="1"/>
    </xf>
    <xf numFmtId="0" fontId="20" fillId="3" borderId="1" xfId="0" applyFont="1" applyFill="1" applyBorder="1" applyAlignment="1">
      <alignment horizontal="center" vertical="center"/>
    </xf>
    <xf numFmtId="3" fontId="20" fillId="3" borderId="1" xfId="0" applyNumberFormat="1" applyFont="1" applyFill="1" applyBorder="1" applyAlignment="1">
      <alignment horizontal="center" vertical="center"/>
    </xf>
    <xf numFmtId="14" fontId="17" fillId="3" borderId="1" xfId="0" applyNumberFormat="1" applyFont="1" applyFill="1" applyBorder="1" applyAlignment="1">
      <alignment horizontal="center" vertical="center"/>
    </xf>
    <xf numFmtId="49" fontId="20" fillId="3" borderId="1" xfId="0" applyNumberFormat="1" applyFont="1" applyFill="1" applyBorder="1" applyAlignment="1">
      <alignment vertical="center"/>
    </xf>
    <xf numFmtId="0" fontId="17" fillId="0" borderId="1" xfId="0" applyFont="1" applyBorder="1" applyAlignment="1">
      <alignment vertical="center"/>
    </xf>
    <xf numFmtId="0" fontId="17" fillId="0" borderId="1" xfId="0" applyFont="1" applyBorder="1" applyAlignment="1">
      <alignment horizontal="center" vertical="center"/>
    </xf>
    <xf numFmtId="165" fontId="20" fillId="0" borderId="1" xfId="0" applyNumberFormat="1" applyFont="1" applyBorder="1" applyAlignment="1">
      <alignment horizontal="center" vertical="center"/>
    </xf>
    <xf numFmtId="14" fontId="17" fillId="0" borderId="1" xfId="0" applyNumberFormat="1" applyFont="1" applyBorder="1" applyAlignment="1">
      <alignment horizontal="center" vertical="center"/>
    </xf>
    <xf numFmtId="0" fontId="17" fillId="0" borderId="1" xfId="0" applyFont="1" applyBorder="1" applyAlignment="1">
      <alignment horizontal="left" vertical="center"/>
    </xf>
    <xf numFmtId="165" fontId="17" fillId="0" borderId="1" xfId="0" applyNumberFormat="1" applyFont="1" applyBorder="1" applyAlignment="1">
      <alignment horizontal="right" vertical="center"/>
    </xf>
    <xf numFmtId="1" fontId="17" fillId="0" borderId="1" xfId="0" applyNumberFormat="1" applyFont="1" applyBorder="1" applyAlignment="1">
      <alignment horizontal="left" vertical="center"/>
    </xf>
    <xf numFmtId="165" fontId="17" fillId="0" borderId="1" xfId="0" applyNumberFormat="1" applyFont="1" applyBorder="1" applyAlignment="1">
      <alignment horizontal="left" vertical="center"/>
    </xf>
    <xf numFmtId="49" fontId="17" fillId="0" borderId="1" xfId="0" applyNumberFormat="1" applyFont="1" applyBorder="1" applyAlignment="1">
      <alignment horizontal="center" vertical="center"/>
    </xf>
    <xf numFmtId="165" fontId="20" fillId="3" borderId="1" xfId="0" applyNumberFormat="1" applyFont="1" applyFill="1" applyBorder="1" applyAlignment="1">
      <alignment horizontal="right" vertical="center"/>
    </xf>
    <xf numFmtId="165" fontId="17" fillId="3" borderId="1" xfId="0" applyNumberFormat="1" applyFont="1" applyFill="1" applyBorder="1" applyAlignment="1">
      <alignment horizontal="right" vertical="center"/>
    </xf>
    <xf numFmtId="49" fontId="17" fillId="0" borderId="1" xfId="0" applyNumberFormat="1" applyFont="1" applyBorder="1" applyAlignment="1">
      <alignment horizontal="left" vertical="center"/>
    </xf>
    <xf numFmtId="14" fontId="17" fillId="0" borderId="1" xfId="0" applyNumberFormat="1" applyFont="1" applyBorder="1" applyAlignment="1">
      <alignment horizontal="left" vertical="center"/>
    </xf>
    <xf numFmtId="14" fontId="17" fillId="3" borderId="1" xfId="0" applyNumberFormat="1" applyFont="1" applyFill="1" applyBorder="1" applyAlignment="1">
      <alignment horizontal="left" vertical="center"/>
    </xf>
    <xf numFmtId="0" fontId="13" fillId="0" borderId="0" xfId="0" applyFont="1" applyAlignment="1">
      <alignment horizontal="left" indent="1"/>
    </xf>
    <xf numFmtId="0" fontId="14" fillId="0" borderId="0" xfId="0" applyFont="1" applyAlignment="1">
      <alignment horizontal="center"/>
    </xf>
    <xf numFmtId="0" fontId="19" fillId="0" borderId="0" xfId="0" applyFont="1"/>
    <xf numFmtId="0" fontId="0" fillId="0" borderId="0" xfId="0" applyAlignment="1">
      <alignment horizontal="left"/>
    </xf>
    <xf numFmtId="4" fontId="14" fillId="0" borderId="0" xfId="0" applyNumberFormat="1" applyFont="1" applyAlignment="1">
      <alignment horizontal="center"/>
    </xf>
    <xf numFmtId="4" fontId="13" fillId="0" borderId="0" xfId="0" applyNumberFormat="1" applyFont="1" applyAlignment="1">
      <alignment horizontal="left" indent="1"/>
    </xf>
    <xf numFmtId="4" fontId="19" fillId="0" borderId="0" xfId="0" applyNumberFormat="1" applyFont="1"/>
    <xf numFmtId="0" fontId="12" fillId="0" borderId="0" xfId="0" applyFont="1" applyAlignment="1">
      <alignment horizontal="left"/>
    </xf>
    <xf numFmtId="165" fontId="17" fillId="0" borderId="1" xfId="5" applyNumberFormat="1" applyFont="1" applyFill="1" applyBorder="1" applyAlignment="1">
      <alignment horizontal="center" vertical="center"/>
    </xf>
    <xf numFmtId="9" fontId="18" fillId="2" borderId="1" xfId="0" applyNumberFormat="1" applyFont="1" applyFill="1" applyBorder="1" applyAlignment="1">
      <alignment horizontal="left" vertical="center" wrapText="1"/>
    </xf>
    <xf numFmtId="0" fontId="32" fillId="0" borderId="0" xfId="0" applyFont="1"/>
    <xf numFmtId="0" fontId="33" fillId="0" borderId="0" xfId="0" applyFont="1"/>
    <xf numFmtId="0" fontId="13" fillId="0" borderId="0" xfId="0" applyFont="1" applyAlignment="1">
      <alignment horizontal="center" wrapText="1"/>
    </xf>
    <xf numFmtId="0" fontId="13" fillId="0" borderId="0" xfId="0" applyFont="1" applyAlignment="1">
      <alignment horizontal="center"/>
    </xf>
    <xf numFmtId="0" fontId="13" fillId="0" borderId="0" xfId="0" applyFont="1" applyAlignment="1">
      <alignment horizontal="left"/>
    </xf>
    <xf numFmtId="4" fontId="13" fillId="0" borderId="0" xfId="0" applyNumberFormat="1" applyFont="1" applyAlignment="1">
      <alignment horizontal="center"/>
    </xf>
    <xf numFmtId="0" fontId="13" fillId="0" borderId="0" xfId="0" applyFont="1" applyAlignment="1">
      <alignment wrapText="1"/>
    </xf>
    <xf numFmtId="4" fontId="13" fillId="0" borderId="0" xfId="0" applyNumberFormat="1" applyFont="1" applyAlignment="1">
      <alignment wrapText="1"/>
    </xf>
    <xf numFmtId="0" fontId="13" fillId="2" borderId="0" xfId="0" applyFont="1" applyFill="1" applyAlignment="1">
      <alignment horizontal="center"/>
    </xf>
    <xf numFmtId="14" fontId="20" fillId="3" borderId="1" xfId="0" applyNumberFormat="1" applyFont="1" applyFill="1" applyBorder="1" applyAlignment="1">
      <alignment horizontal="center" vertical="center" wrapText="1"/>
    </xf>
    <xf numFmtId="4" fontId="13" fillId="0" borderId="0" xfId="0" applyNumberFormat="1" applyFont="1" applyAlignment="1">
      <alignment horizontal="left"/>
    </xf>
    <xf numFmtId="0" fontId="22" fillId="0" borderId="0" xfId="0" applyFont="1"/>
    <xf numFmtId="49" fontId="20" fillId="0" borderId="1" xfId="0" applyNumberFormat="1" applyFont="1" applyBorder="1" applyAlignment="1">
      <alignment horizontal="center" vertical="center" wrapText="1"/>
    </xf>
    <xf numFmtId="0" fontId="18" fillId="0" borderId="1" xfId="0" applyFont="1" applyBorder="1" applyAlignment="1">
      <alignment horizontal="left" vertical="center" wrapText="1"/>
    </xf>
    <xf numFmtId="0" fontId="20" fillId="3" borderId="1" xfId="0" applyFont="1" applyFill="1" applyBorder="1" applyAlignment="1">
      <alignment vertical="center"/>
    </xf>
    <xf numFmtId="0" fontId="20" fillId="3" borderId="1" xfId="0" applyFont="1" applyFill="1" applyBorder="1" applyAlignment="1">
      <alignment horizontal="left" vertical="center"/>
    </xf>
    <xf numFmtId="0" fontId="17" fillId="3" borderId="1" xfId="0" applyFont="1" applyFill="1" applyBorder="1" applyAlignment="1">
      <alignment horizontal="center" vertical="center"/>
    </xf>
    <xf numFmtId="0" fontId="17" fillId="3" borderId="1" xfId="0" applyFont="1" applyFill="1" applyBorder="1" applyAlignment="1">
      <alignment vertical="center"/>
    </xf>
    <xf numFmtId="3" fontId="20" fillId="0" borderId="1" xfId="0" applyNumberFormat="1" applyFont="1" applyBorder="1" applyAlignment="1">
      <alignment horizontal="center" vertical="center"/>
    </xf>
    <xf numFmtId="0" fontId="17" fillId="3" borderId="1" xfId="0" applyFont="1" applyFill="1" applyBorder="1" applyAlignment="1">
      <alignment horizontal="left" vertical="center"/>
    </xf>
    <xf numFmtId="14" fontId="13" fillId="0" borderId="0" xfId="0" applyNumberFormat="1" applyFont="1" applyAlignment="1">
      <alignment horizontal="left"/>
    </xf>
    <xf numFmtId="165" fontId="13" fillId="0" borderId="0" xfId="0" applyNumberFormat="1" applyFont="1"/>
    <xf numFmtId="165" fontId="31" fillId="0" borderId="0" xfId="0" applyNumberFormat="1" applyFont="1"/>
    <xf numFmtId="0" fontId="34" fillId="0" borderId="0" xfId="0" applyFont="1"/>
    <xf numFmtId="11" fontId="34" fillId="0" borderId="0" xfId="0" applyNumberFormat="1" applyFont="1"/>
    <xf numFmtId="165" fontId="13" fillId="0" borderId="0" xfId="0" applyNumberFormat="1" applyFont="1" applyAlignment="1">
      <alignment horizontal="left"/>
    </xf>
    <xf numFmtId="49" fontId="20" fillId="2" borderId="1" xfId="0" applyNumberFormat="1" applyFont="1" applyFill="1" applyBorder="1" applyAlignment="1">
      <alignment horizontal="center" vertical="center" wrapText="1"/>
    </xf>
    <xf numFmtId="49" fontId="20" fillId="3" borderId="1" xfId="0" applyNumberFormat="1" applyFont="1" applyFill="1" applyBorder="1" applyAlignment="1">
      <alignment horizontal="center" vertical="center"/>
    </xf>
    <xf numFmtId="14" fontId="17" fillId="3" borderId="1" xfId="0" applyNumberFormat="1" applyFont="1" applyFill="1" applyBorder="1" applyAlignment="1">
      <alignment horizontal="right" vertical="center"/>
    </xf>
    <xf numFmtId="14" fontId="13" fillId="0" borderId="0" xfId="0" applyNumberFormat="1" applyFont="1" applyAlignment="1">
      <alignment horizontal="right"/>
    </xf>
    <xf numFmtId="165" fontId="13" fillId="0" borderId="0" xfId="0" applyNumberFormat="1" applyFont="1" applyAlignment="1">
      <alignment horizontal="right"/>
    </xf>
    <xf numFmtId="0" fontId="5" fillId="0" borderId="1" xfId="0" applyFont="1" applyBorder="1" applyAlignment="1">
      <alignment horizontal="left" vertical="center"/>
    </xf>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31" fillId="0" borderId="1" xfId="0" applyFont="1" applyBorder="1" applyAlignment="1">
      <alignment vertical="center"/>
    </xf>
    <xf numFmtId="49" fontId="31" fillId="0" borderId="1" xfId="0" applyNumberFormat="1" applyFont="1" applyBorder="1" applyAlignment="1">
      <alignment horizontal="left" vertical="center"/>
    </xf>
    <xf numFmtId="3"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166" fontId="36" fillId="0" borderId="1" xfId="0" applyNumberFormat="1" applyFont="1" applyBorder="1" applyAlignment="1">
      <alignment horizontal="center" vertical="center"/>
    </xf>
    <xf numFmtId="166" fontId="31" fillId="0" borderId="1" xfId="0" applyNumberFormat="1" applyFont="1" applyBorder="1" applyAlignment="1">
      <alignment horizontal="left" vertical="center"/>
    </xf>
    <xf numFmtId="14" fontId="31" fillId="0" borderId="1" xfId="0" applyNumberFormat="1" applyFont="1" applyBorder="1" applyAlignment="1">
      <alignment horizontal="center" vertical="center"/>
    </xf>
    <xf numFmtId="14" fontId="31" fillId="0" borderId="1" xfId="0" applyNumberFormat="1" applyFont="1" applyBorder="1" applyAlignment="1">
      <alignment vertical="center"/>
    </xf>
    <xf numFmtId="166" fontId="31" fillId="0" borderId="1" xfId="0" applyNumberFormat="1" applyFont="1" applyBorder="1" applyAlignment="1">
      <alignment vertical="center"/>
    </xf>
    <xf numFmtId="2" fontId="31" fillId="0" borderId="1" xfId="1" applyNumberFormat="1" applyFont="1" applyFill="1" applyBorder="1" applyAlignment="1">
      <alignment horizontal="left" vertical="center"/>
    </xf>
    <xf numFmtId="14" fontId="31" fillId="0" borderId="1" xfId="0" quotePrefix="1" applyNumberFormat="1" applyFont="1" applyBorder="1" applyAlignment="1">
      <alignment vertical="center"/>
    </xf>
    <xf numFmtId="0" fontId="31" fillId="0" borderId="1" xfId="1" applyFont="1" applyFill="1" applyBorder="1" applyAlignment="1">
      <alignment vertical="center"/>
    </xf>
    <xf numFmtId="0" fontId="31" fillId="0" borderId="1" xfId="1" applyFont="1" applyBorder="1" applyAlignment="1">
      <alignment vertical="center"/>
    </xf>
    <xf numFmtId="0" fontId="36" fillId="3" borderId="1" xfId="0" applyFont="1" applyFill="1" applyBorder="1" applyAlignment="1">
      <alignment vertical="center"/>
    </xf>
    <xf numFmtId="49" fontId="31" fillId="3" borderId="1" xfId="0" applyNumberFormat="1" applyFont="1" applyFill="1" applyBorder="1" applyAlignment="1">
      <alignment horizontal="left" vertical="center"/>
    </xf>
    <xf numFmtId="0" fontId="31" fillId="3" borderId="1" xfId="0" applyFont="1" applyFill="1" applyBorder="1" applyAlignment="1">
      <alignment horizontal="center" vertical="center"/>
    </xf>
    <xf numFmtId="49" fontId="31" fillId="3" borderId="1" xfId="0" applyNumberFormat="1" applyFont="1" applyFill="1" applyBorder="1" applyAlignment="1">
      <alignment horizontal="center" vertical="center"/>
    </xf>
    <xf numFmtId="166" fontId="31" fillId="3" borderId="1" xfId="0" applyNumberFormat="1" applyFont="1" applyFill="1" applyBorder="1" applyAlignment="1">
      <alignment horizontal="center" vertical="center"/>
    </xf>
    <xf numFmtId="166" fontId="36" fillId="3" borderId="1" xfId="0" applyNumberFormat="1" applyFont="1" applyFill="1" applyBorder="1" applyAlignment="1">
      <alignment horizontal="center" vertical="center"/>
    </xf>
    <xf numFmtId="14" fontId="31" fillId="3" borderId="1" xfId="0" applyNumberFormat="1" applyFont="1" applyFill="1" applyBorder="1" applyAlignment="1">
      <alignment horizontal="center" vertical="center"/>
    </xf>
    <xf numFmtId="14" fontId="31" fillId="3" borderId="1" xfId="0" applyNumberFormat="1" applyFont="1" applyFill="1" applyBorder="1" applyAlignment="1">
      <alignment vertical="center"/>
    </xf>
    <xf numFmtId="166" fontId="31" fillId="3" borderId="1" xfId="0" applyNumberFormat="1" applyFont="1" applyFill="1" applyBorder="1" applyAlignment="1">
      <alignment vertical="center"/>
    </xf>
    <xf numFmtId="2" fontId="31" fillId="3" borderId="1" xfId="0" applyNumberFormat="1" applyFont="1" applyFill="1" applyBorder="1" applyAlignment="1">
      <alignment horizontal="left" vertical="center"/>
    </xf>
    <xf numFmtId="14" fontId="31" fillId="0" borderId="1" xfId="0" quotePrefix="1" applyNumberFormat="1" applyFont="1" applyBorder="1" applyAlignment="1">
      <alignment horizontal="center" vertical="center"/>
    </xf>
    <xf numFmtId="14" fontId="31" fillId="2" borderId="1" xfId="0" applyNumberFormat="1" applyFont="1" applyFill="1" applyBorder="1" applyAlignment="1">
      <alignment vertical="center"/>
    </xf>
    <xf numFmtId="0" fontId="37" fillId="0" borderId="0" xfId="0" applyFont="1"/>
    <xf numFmtId="0" fontId="20" fillId="3" borderId="1" xfId="0" applyFont="1" applyFill="1" applyBorder="1" applyAlignment="1">
      <alignment vertical="center" wrapText="1"/>
    </xf>
    <xf numFmtId="0" fontId="20" fillId="3" borderId="1" xfId="0" applyFont="1" applyFill="1" applyBorder="1" applyAlignment="1">
      <alignment horizontal="left" vertical="center" wrapText="1"/>
    </xf>
    <xf numFmtId="0" fontId="20" fillId="3" borderId="1" xfId="0" applyFont="1" applyFill="1" applyBorder="1" applyAlignment="1">
      <alignment horizontal="center" vertical="center" wrapText="1"/>
    </xf>
    <xf numFmtId="0" fontId="31" fillId="0" borderId="1" xfId="0" applyFont="1" applyBorder="1" applyAlignment="1">
      <alignment horizontal="left" vertical="center"/>
    </xf>
    <xf numFmtId="0" fontId="17" fillId="2" borderId="1" xfId="0" applyFont="1" applyFill="1" applyBorder="1" applyAlignment="1">
      <alignment horizontal="left" vertical="center"/>
    </xf>
    <xf numFmtId="3" fontId="20" fillId="2"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3" fontId="17" fillId="0" borderId="1" xfId="0" applyNumberFormat="1" applyFont="1" applyBorder="1" applyAlignment="1">
      <alignment horizontal="center" vertical="center"/>
    </xf>
    <xf numFmtId="0" fontId="38" fillId="0" borderId="0" xfId="0" applyFont="1"/>
    <xf numFmtId="0" fontId="31" fillId="3" borderId="1" xfId="0" applyFont="1" applyFill="1" applyBorder="1" applyAlignment="1">
      <alignment vertical="center"/>
    </xf>
    <xf numFmtId="2" fontId="20" fillId="3" borderId="1" xfId="0" applyNumberFormat="1" applyFont="1" applyFill="1" applyBorder="1" applyAlignment="1">
      <alignment horizontal="center" vertical="center"/>
    </xf>
    <xf numFmtId="165" fontId="17" fillId="0" borderId="1" xfId="0" applyNumberFormat="1" applyFont="1" applyBorder="1" applyAlignment="1">
      <alignment horizontal="right" vertical="center" wrapText="1"/>
    </xf>
    <xf numFmtId="0" fontId="17" fillId="0" borderId="1" xfId="0" quotePrefix="1" applyFont="1" applyBorder="1" applyAlignment="1">
      <alignment horizontal="center" vertical="center"/>
    </xf>
    <xf numFmtId="49" fontId="17" fillId="0" borderId="1" xfId="0" applyNumberFormat="1" applyFont="1" applyBorder="1" applyAlignment="1">
      <alignment horizontal="right" vertical="center"/>
    </xf>
    <xf numFmtId="4" fontId="20" fillId="3" borderId="1" xfId="0" applyNumberFormat="1" applyFont="1" applyFill="1" applyBorder="1" applyAlignment="1">
      <alignment horizontal="left" vertical="center"/>
    </xf>
    <xf numFmtId="1" fontId="20" fillId="3" borderId="1" xfId="0" applyNumberFormat="1" applyFont="1" applyFill="1" applyBorder="1" applyAlignment="1">
      <alignment horizontal="left" vertical="center"/>
    </xf>
    <xf numFmtId="49" fontId="20" fillId="3" borderId="1" xfId="0" applyNumberFormat="1" applyFont="1" applyFill="1" applyBorder="1" applyAlignment="1">
      <alignment horizontal="left" vertical="center"/>
    </xf>
    <xf numFmtId="0" fontId="25" fillId="0" borderId="1" xfId="0" applyFont="1" applyBorder="1" applyAlignment="1">
      <alignment horizontal="justify" vertical="center"/>
    </xf>
    <xf numFmtId="4" fontId="17" fillId="0" borderId="1" xfId="0" applyNumberFormat="1" applyFont="1" applyBorder="1" applyAlignment="1">
      <alignment horizontal="left" vertical="center"/>
    </xf>
    <xf numFmtId="0" fontId="25" fillId="0" borderId="1" xfId="0" applyFont="1" applyBorder="1" applyAlignment="1">
      <alignment horizontal="center" vertical="center" wrapText="1"/>
    </xf>
    <xf numFmtId="0" fontId="24" fillId="0" borderId="1" xfId="0" applyFont="1" applyBorder="1" applyAlignment="1">
      <alignment horizontal="justify" vertical="top" wrapText="1"/>
    </xf>
    <xf numFmtId="0" fontId="25" fillId="0" borderId="1" xfId="0" applyFont="1" applyBorder="1" applyAlignment="1">
      <alignment horizontal="justify" vertical="top" wrapText="1"/>
    </xf>
    <xf numFmtId="49" fontId="29" fillId="0" borderId="1" xfId="0" applyNumberFormat="1" applyFont="1" applyBorder="1" applyAlignment="1">
      <alignment horizontal="center" vertical="top" wrapText="1"/>
    </xf>
    <xf numFmtId="0" fontId="26" fillId="0" borderId="1" xfId="0" applyFont="1" applyBorder="1" applyAlignment="1">
      <alignment horizontal="left" vertical="top" wrapText="1" indent="1"/>
    </xf>
    <xf numFmtId="0" fontId="25" fillId="0" borderId="1" xfId="0" applyFont="1" applyBorder="1" applyAlignment="1">
      <alignment horizontal="center" vertical="top" wrapText="1"/>
    </xf>
    <xf numFmtId="49" fontId="29" fillId="0" borderId="1" xfId="0" applyNumberFormat="1" applyFont="1" applyBorder="1" applyAlignment="1">
      <alignment vertical="top" wrapText="1"/>
    </xf>
    <xf numFmtId="0" fontId="30" fillId="0" borderId="1" xfId="0" applyFont="1" applyBorder="1" applyAlignment="1">
      <alignment horizontal="justify" vertical="top" wrapText="1"/>
    </xf>
    <xf numFmtId="0" fontId="25" fillId="0" borderId="1" xfId="0" applyFont="1" applyBorder="1" applyAlignment="1">
      <alignment vertical="top" wrapText="1"/>
    </xf>
    <xf numFmtId="0" fontId="27" fillId="0" borderId="1" xfId="0" applyFont="1" applyBorder="1" applyAlignment="1">
      <alignment horizontal="justify" vertical="top" wrapText="1"/>
    </xf>
    <xf numFmtId="0" fontId="35" fillId="0" borderId="1" xfId="0" applyFont="1" applyBorder="1" applyAlignment="1">
      <alignment horizontal="left" vertical="center"/>
    </xf>
    <xf numFmtId="165" fontId="31" fillId="0" borderId="1" xfId="0" applyNumberFormat="1" applyFont="1" applyBorder="1" applyAlignment="1">
      <alignment horizontal="right" vertical="center"/>
    </xf>
    <xf numFmtId="14" fontId="31" fillId="2" borderId="1" xfId="0" applyNumberFormat="1" applyFont="1" applyFill="1" applyBorder="1" applyAlignment="1">
      <alignment horizontal="center" vertical="center"/>
    </xf>
    <xf numFmtId="0" fontId="31" fillId="3" borderId="1" xfId="0" applyFont="1" applyFill="1" applyBorder="1" applyAlignment="1">
      <alignment horizontal="left" vertical="center"/>
    </xf>
    <xf numFmtId="165" fontId="31" fillId="3" borderId="1" xfId="0" applyNumberFormat="1" applyFont="1" applyFill="1" applyBorder="1" applyAlignment="1">
      <alignment horizontal="center" vertical="center"/>
    </xf>
    <xf numFmtId="166" fontId="31" fillId="0" borderId="1" xfId="0" applyNumberFormat="1" applyFont="1" applyBorder="1" applyAlignment="1">
      <alignment horizontal="center" vertical="center"/>
    </xf>
    <xf numFmtId="2" fontId="31" fillId="2" borderId="1" xfId="1" applyNumberFormat="1" applyFont="1" applyFill="1" applyBorder="1" applyAlignment="1">
      <alignment horizontal="left" vertical="center"/>
    </xf>
    <xf numFmtId="0" fontId="36" fillId="0" borderId="0" xfId="0" applyFont="1" applyAlignment="1">
      <alignment horizontal="center"/>
    </xf>
    <xf numFmtId="14" fontId="31" fillId="0" borderId="1" xfId="0" applyNumberFormat="1" applyFont="1" applyBorder="1" applyAlignment="1">
      <alignment horizontal="left" vertical="center"/>
    </xf>
    <xf numFmtId="14" fontId="31" fillId="0" borderId="1" xfId="0" quotePrefix="1" applyNumberFormat="1" applyFont="1" applyBorder="1" applyAlignment="1">
      <alignment horizontal="left" vertical="center"/>
    </xf>
    <xf numFmtId="14" fontId="39" fillId="0" borderId="0" xfId="0" applyNumberFormat="1" applyFont="1"/>
    <xf numFmtId="165" fontId="39" fillId="0" borderId="0" xfId="0" applyNumberFormat="1" applyFont="1"/>
    <xf numFmtId="0" fontId="17" fillId="0" borderId="1" xfId="1" applyNumberFormat="1"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xf>
    <xf numFmtId="0" fontId="10" fillId="0" borderId="0" xfId="0" applyFont="1" applyAlignment="1">
      <alignment vertical="center"/>
    </xf>
    <xf numFmtId="0" fontId="21" fillId="0" borderId="0" xfId="0" applyFont="1" applyAlignment="1">
      <alignment vertical="center"/>
    </xf>
    <xf numFmtId="4" fontId="28" fillId="0" borderId="0" xfId="0" applyNumberFormat="1" applyFont="1" applyAlignment="1">
      <alignment vertical="center"/>
    </xf>
    <xf numFmtId="0" fontId="34" fillId="0" borderId="0" xfId="0" applyFont="1" applyAlignment="1">
      <alignment vertical="center"/>
    </xf>
    <xf numFmtId="165" fontId="15" fillId="0" borderId="0" xfId="0" applyNumberFormat="1" applyFont="1" applyAlignment="1">
      <alignment vertical="center"/>
    </xf>
    <xf numFmtId="165" fontId="36" fillId="0" borderId="1" xfId="0" applyNumberFormat="1" applyFont="1" applyBorder="1" applyAlignment="1">
      <alignment horizontal="center" vertical="center"/>
    </xf>
    <xf numFmtId="165" fontId="0" fillId="0" borderId="0" xfId="0" applyNumberFormat="1" applyAlignment="1">
      <alignment vertical="center"/>
    </xf>
    <xf numFmtId="165" fontId="10" fillId="0" borderId="0" xfId="0" applyNumberFormat="1" applyFont="1" applyAlignment="1">
      <alignment vertical="center"/>
    </xf>
    <xf numFmtId="165" fontId="17" fillId="0" borderId="1" xfId="0" quotePrefix="1" applyNumberFormat="1" applyFont="1" applyBorder="1" applyAlignment="1">
      <alignment horizontal="right" vertical="center"/>
    </xf>
    <xf numFmtId="14" fontId="39" fillId="0" borderId="0" xfId="0" applyNumberFormat="1" applyFont="1" applyAlignment="1">
      <alignment horizontal="right"/>
    </xf>
    <xf numFmtId="165" fontId="39" fillId="0" borderId="0" xfId="0" applyNumberFormat="1" applyFont="1" applyAlignment="1">
      <alignment horizontal="right"/>
    </xf>
    <xf numFmtId="49" fontId="20" fillId="3" borderId="1" xfId="0" applyNumberFormat="1" applyFont="1" applyFill="1" applyBorder="1" applyAlignment="1">
      <alignment horizontal="right" vertical="center"/>
    </xf>
    <xf numFmtId="165" fontId="17" fillId="4" borderId="1" xfId="0" applyNumberFormat="1" applyFont="1" applyFill="1" applyBorder="1" applyAlignment="1">
      <alignment horizontal="right" vertical="center"/>
    </xf>
    <xf numFmtId="0" fontId="31" fillId="0" borderId="0" xfId="0" applyFont="1" applyAlignment="1">
      <alignment vertical="center"/>
    </xf>
    <xf numFmtId="0" fontId="17" fillId="0" borderId="0" xfId="0" applyFont="1" applyAlignment="1">
      <alignment vertical="center"/>
    </xf>
    <xf numFmtId="0" fontId="17" fillId="0" borderId="0" xfId="0" applyFont="1" applyAlignment="1">
      <alignment horizontal="center" vertical="center"/>
    </xf>
    <xf numFmtId="165" fontId="20" fillId="0" borderId="0" xfId="0" applyNumberFormat="1" applyFont="1" applyAlignment="1">
      <alignment horizontal="center" vertical="center"/>
    </xf>
    <xf numFmtId="14" fontId="17" fillId="0" borderId="0" xfId="0" applyNumberFormat="1" applyFont="1" applyAlignment="1">
      <alignment horizontal="left" vertical="center"/>
    </xf>
    <xf numFmtId="165" fontId="17" fillId="0" borderId="0" xfId="0" applyNumberFormat="1" applyFont="1" applyAlignment="1">
      <alignment horizontal="right" vertical="center"/>
    </xf>
    <xf numFmtId="165" fontId="17" fillId="0" borderId="0" xfId="0" applyNumberFormat="1" applyFont="1" applyAlignment="1">
      <alignment horizontal="left" vertical="center"/>
    </xf>
    <xf numFmtId="165" fontId="31" fillId="0" borderId="1" xfId="5" applyNumberFormat="1" applyFont="1" applyFill="1" applyBorder="1" applyAlignment="1">
      <alignment horizontal="center" vertical="center"/>
    </xf>
    <xf numFmtId="0" fontId="40" fillId="0" borderId="0" xfId="0" applyFont="1" applyAlignment="1">
      <alignment horizontal="left" vertical="center"/>
    </xf>
    <xf numFmtId="4" fontId="41" fillId="0" borderId="0" xfId="0" applyNumberFormat="1" applyFont="1"/>
    <xf numFmtId="0" fontId="20" fillId="2" borderId="0" xfId="0" applyFont="1" applyFill="1" applyAlignment="1">
      <alignment horizontal="left" vertical="center" wrapText="1"/>
    </xf>
    <xf numFmtId="0" fontId="20" fillId="2" borderId="0" xfId="0" applyFont="1" applyFill="1" applyAlignment="1">
      <alignment horizontal="center" vertical="center" wrapText="1"/>
    </xf>
    <xf numFmtId="0" fontId="17" fillId="0" borderId="0" xfId="0" applyFont="1" applyAlignment="1">
      <alignment horizontal="left" wrapText="1"/>
    </xf>
    <xf numFmtId="0" fontId="17" fillId="2" borderId="2" xfId="0" applyFont="1" applyFill="1" applyBorder="1" applyAlignment="1">
      <alignment horizontal="left" vertical="center"/>
    </xf>
    <xf numFmtId="0" fontId="17" fillId="2" borderId="2" xfId="0" applyFont="1" applyFill="1" applyBorder="1" applyAlignment="1">
      <alignment horizontal="center" vertical="center"/>
    </xf>
    <xf numFmtId="0" fontId="17" fillId="0" borderId="2" xfId="0" applyFont="1" applyBorder="1" applyAlignment="1">
      <alignment horizontal="left"/>
    </xf>
    <xf numFmtId="49" fontId="36" fillId="2" borderId="1" xfId="0" applyNumberFormat="1" applyFont="1" applyFill="1" applyBorder="1" applyAlignment="1">
      <alignment horizontal="center" vertical="center" wrapText="1"/>
    </xf>
    <xf numFmtId="0" fontId="42" fillId="2" borderId="1" xfId="0" applyFont="1" applyFill="1" applyBorder="1" applyAlignment="1">
      <alignment horizontal="left" vertical="center" wrapText="1"/>
    </xf>
    <xf numFmtId="0" fontId="0" fillId="3" borderId="1" xfId="0" applyFill="1" applyBorder="1"/>
    <xf numFmtId="0" fontId="0" fillId="0" borderId="1" xfId="0" applyBorder="1" applyAlignment="1">
      <alignment horizontal="left" vertical="center"/>
    </xf>
    <xf numFmtId="0" fontId="0" fillId="3" borderId="1" xfId="0" applyFill="1" applyBorder="1" applyAlignment="1">
      <alignment horizontal="left" vertical="center"/>
    </xf>
    <xf numFmtId="0" fontId="40" fillId="0" borderId="0" xfId="0" applyFont="1" applyAlignment="1">
      <alignment horizontal="left"/>
    </xf>
    <xf numFmtId="0" fontId="40" fillId="0" borderId="0" xfId="0" applyFont="1" applyAlignment="1">
      <alignment vertical="center"/>
    </xf>
    <xf numFmtId="165" fontId="40" fillId="0" borderId="0" xfId="0" applyNumberFormat="1" applyFont="1" applyAlignment="1">
      <alignment horizontal="left" vertical="center"/>
    </xf>
    <xf numFmtId="0" fontId="40" fillId="0" borderId="0" xfId="0" applyFont="1"/>
    <xf numFmtId="0" fontId="43" fillId="0" borderId="0" xfId="1" applyFont="1" applyBorder="1"/>
    <xf numFmtId="0" fontId="20" fillId="2" borderId="0" xfId="0" applyFont="1" applyFill="1" applyAlignment="1">
      <alignment horizontal="left" vertical="center"/>
    </xf>
    <xf numFmtId="49" fontId="40" fillId="0" borderId="0" xfId="0" applyNumberFormat="1" applyFont="1" applyAlignment="1">
      <alignment horizontal="left" vertical="center"/>
    </xf>
    <xf numFmtId="165" fontId="40" fillId="0" borderId="3" xfId="0" applyNumberFormat="1" applyFont="1" applyBorder="1" applyAlignment="1">
      <alignment horizontal="left" vertical="center"/>
    </xf>
    <xf numFmtId="0" fontId="0" fillId="0" borderId="1" xfId="0" applyBorder="1" applyAlignment="1">
      <alignment vertical="center"/>
    </xf>
    <xf numFmtId="165" fontId="17" fillId="0" borderId="1" xfId="0" applyNumberFormat="1" applyFont="1" applyBorder="1" applyAlignment="1">
      <alignment horizontal="center" vertical="center"/>
    </xf>
    <xf numFmtId="165" fontId="17" fillId="3" borderId="1" xfId="0" applyNumberFormat="1" applyFont="1" applyFill="1" applyBorder="1" applyAlignment="1">
      <alignment horizontal="center" vertical="center"/>
    </xf>
    <xf numFmtId="0" fontId="19" fillId="0" borderId="0" xfId="0" applyFont="1" applyAlignment="1">
      <alignment horizontal="center" vertical="center"/>
    </xf>
    <xf numFmtId="4" fontId="19" fillId="0" borderId="0" xfId="0" applyNumberFormat="1" applyFont="1" applyAlignment="1">
      <alignment horizontal="center" vertical="center"/>
    </xf>
    <xf numFmtId="0" fontId="19" fillId="0" borderId="0" xfId="0" applyFont="1" applyAlignment="1">
      <alignment horizontal="left"/>
    </xf>
    <xf numFmtId="4" fontId="19" fillId="0" borderId="0" xfId="0" applyNumberFormat="1" applyFont="1" applyAlignment="1">
      <alignment horizontal="left"/>
    </xf>
    <xf numFmtId="3" fontId="17" fillId="3" borderId="1" xfId="0" applyNumberFormat="1" applyFont="1" applyFill="1" applyBorder="1" applyAlignment="1">
      <alignment horizontal="center" vertical="center"/>
    </xf>
    <xf numFmtId="3" fontId="17" fillId="2" borderId="1" xfId="0" applyNumberFormat="1" applyFont="1" applyFill="1" applyBorder="1" applyAlignment="1">
      <alignment horizontal="center" vertical="center"/>
    </xf>
    <xf numFmtId="0" fontId="17" fillId="3" borderId="1" xfId="0" applyFont="1" applyFill="1" applyBorder="1" applyAlignment="1">
      <alignment horizontal="right" vertical="center"/>
    </xf>
    <xf numFmtId="0" fontId="19" fillId="0" borderId="0" xfId="0" applyFont="1" applyAlignment="1">
      <alignment horizontal="right" vertical="center"/>
    </xf>
    <xf numFmtId="4" fontId="19" fillId="0" borderId="0" xfId="0" applyNumberFormat="1" applyFont="1" applyAlignment="1">
      <alignment horizontal="right" vertical="center"/>
    </xf>
    <xf numFmtId="0" fontId="17" fillId="0" borderId="0" xfId="0" applyFont="1" applyAlignment="1">
      <alignment wrapText="1"/>
    </xf>
    <xf numFmtId="0" fontId="17" fillId="0" borderId="2" xfId="0" applyFont="1" applyBorder="1"/>
    <xf numFmtId="49" fontId="17" fillId="0" borderId="1" xfId="0" applyNumberFormat="1" applyFont="1" applyBorder="1" applyAlignment="1">
      <alignment vertical="center"/>
    </xf>
    <xf numFmtId="49" fontId="31" fillId="0" borderId="1" xfId="0" applyNumberFormat="1" applyFont="1" applyBorder="1" applyAlignment="1">
      <alignment vertical="center"/>
    </xf>
    <xf numFmtId="49" fontId="17" fillId="0" borderId="0" xfId="0" applyNumberFormat="1" applyFont="1" applyAlignment="1">
      <alignment vertical="center"/>
    </xf>
    <xf numFmtId="165" fontId="0" fillId="0" borderId="0" xfId="0" applyNumberFormat="1"/>
    <xf numFmtId="165" fontId="12" fillId="0" borderId="0" xfId="0" applyNumberFormat="1" applyFont="1"/>
    <xf numFmtId="49" fontId="12" fillId="0" borderId="0" xfId="0" applyNumberFormat="1" applyFont="1"/>
    <xf numFmtId="3" fontId="20" fillId="3" borderId="1" xfId="0" applyNumberFormat="1" applyFont="1" applyFill="1" applyBorder="1" applyAlignment="1">
      <alignment horizontal="left" vertical="center"/>
    </xf>
    <xf numFmtId="0" fontId="14" fillId="0" borderId="0" xfId="0" applyFont="1" applyAlignment="1">
      <alignment horizontal="left"/>
    </xf>
    <xf numFmtId="165" fontId="14" fillId="0" borderId="0" xfId="0" applyNumberFormat="1" applyFont="1" applyAlignment="1">
      <alignment horizontal="left"/>
    </xf>
    <xf numFmtId="4" fontId="14" fillId="0" borderId="0" xfId="0" applyNumberFormat="1" applyFont="1" applyAlignment="1">
      <alignment horizontal="left"/>
    </xf>
    <xf numFmtId="0" fontId="17" fillId="0" borderId="0" xfId="0" applyFont="1" applyAlignment="1">
      <alignment horizontal="left" vertical="center"/>
    </xf>
    <xf numFmtId="165" fontId="21" fillId="0" borderId="0" xfId="0" applyNumberFormat="1" applyFont="1" applyAlignment="1">
      <alignment vertical="center"/>
    </xf>
    <xf numFmtId="166" fontId="44" fillId="0" borderId="1" xfId="3" applyNumberFormat="1" applyFont="1" applyBorder="1" applyAlignment="1">
      <alignment horizontal="center" vertical="center"/>
    </xf>
    <xf numFmtId="166" fontId="36" fillId="0" borderId="1" xfId="0" applyNumberFormat="1"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center" vertical="center"/>
    </xf>
    <xf numFmtId="49" fontId="29" fillId="0" borderId="4" xfId="0" applyNumberFormat="1" applyFont="1" applyBorder="1" applyAlignment="1">
      <alignment horizontal="center" vertical="top" wrapText="1"/>
    </xf>
    <xf numFmtId="49" fontId="29" fillId="0" borderId="3" xfId="0" applyNumberFormat="1" applyFont="1" applyBorder="1" applyAlignment="1">
      <alignment horizontal="center" vertical="top" wrapText="1"/>
    </xf>
    <xf numFmtId="49" fontId="29" fillId="0" borderId="5" xfId="0" applyNumberFormat="1" applyFont="1" applyBorder="1" applyAlignment="1">
      <alignment horizontal="center" vertical="top" wrapText="1"/>
    </xf>
    <xf numFmtId="0" fontId="25" fillId="0" borderId="1" xfId="0" applyFont="1" applyBorder="1" applyAlignment="1">
      <alignment horizontal="center" vertical="top" wrapText="1"/>
    </xf>
    <xf numFmtId="49" fontId="29" fillId="0" borderId="1" xfId="0" applyNumberFormat="1" applyFont="1" applyBorder="1" applyAlignment="1">
      <alignment horizontal="center" vertical="top" wrapText="1"/>
    </xf>
    <xf numFmtId="0" fontId="24" fillId="0" borderId="1" xfId="0" applyFont="1" applyBorder="1" applyAlignment="1">
      <alignment horizontal="center" vertical="top" wrapText="1"/>
    </xf>
    <xf numFmtId="49" fontId="24" fillId="0" borderId="0" xfId="0" applyNumberFormat="1" applyFont="1" applyAlignment="1">
      <alignment horizontal="center" vertical="center"/>
    </xf>
    <xf numFmtId="0" fontId="24" fillId="0" borderId="0" xfId="0" applyFont="1" applyAlignment="1">
      <alignment horizontal="center" vertical="center"/>
    </xf>
    <xf numFmtId="49" fontId="25" fillId="0" borderId="1"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31" fillId="2" borderId="1" xfId="0" applyFont="1" applyFill="1" applyBorder="1" applyAlignment="1">
      <alignment horizontal="center" vertical="center" wrapText="1"/>
    </xf>
    <xf numFmtId="0" fontId="31" fillId="0" borderId="1" xfId="0" applyFont="1" applyBorder="1" applyAlignment="1">
      <alignment horizontal="center" vertical="center" wrapText="1"/>
    </xf>
    <xf numFmtId="0" fontId="36" fillId="2"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2" borderId="1" xfId="0" applyFont="1" applyFill="1" applyBorder="1" applyAlignment="1">
      <alignment horizontal="center" vertical="center" wrapText="1"/>
    </xf>
    <xf numFmtId="0" fontId="20" fillId="0" borderId="0" xfId="0" applyFont="1" applyAlignment="1">
      <alignment horizontal="left" vertical="center" wrapText="1"/>
    </xf>
    <xf numFmtId="0" fontId="0" fillId="0" borderId="0" xfId="0" applyAlignment="1">
      <alignment horizontal="left" vertical="center" wrapText="1"/>
    </xf>
    <xf numFmtId="0" fontId="17" fillId="0" borderId="0" xfId="0" applyFont="1" applyAlignment="1">
      <alignment horizontal="left" vertical="center" wrapText="1"/>
    </xf>
    <xf numFmtId="0" fontId="0" fillId="0" borderId="0" xfId="0" applyAlignment="1">
      <alignment vertical="center" wrapText="1"/>
    </xf>
    <xf numFmtId="0" fontId="17" fillId="0" borderId="1" xfId="0" applyFont="1" applyBorder="1" applyAlignment="1">
      <alignment horizontal="center" vertical="center"/>
    </xf>
    <xf numFmtId="0" fontId="0" fillId="0" borderId="0" xfId="0" applyAlignment="1">
      <alignment horizontal="left"/>
    </xf>
    <xf numFmtId="0" fontId="17" fillId="0" borderId="0" xfId="0" applyFont="1" applyAlignment="1">
      <alignment horizontal="left" vertical="center"/>
    </xf>
    <xf numFmtId="0" fontId="0" fillId="0" borderId="0" xfId="0"/>
    <xf numFmtId="14" fontId="17" fillId="2"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20" fillId="2" borderId="1" xfId="0" applyFont="1" applyFill="1" applyBorder="1" applyAlignment="1">
      <alignment horizontal="center" vertical="center" wrapText="1"/>
    </xf>
    <xf numFmtId="49" fontId="17" fillId="2" borderId="1" xfId="0" applyNumberFormat="1" applyFont="1" applyFill="1" applyBorder="1" applyAlignment="1">
      <alignment horizontal="center" vertical="center" wrapText="1"/>
    </xf>
    <xf numFmtId="14" fontId="31" fillId="2" borderId="1" xfId="0"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14" fontId="17" fillId="0" borderId="1" xfId="0" applyNumberFormat="1" applyFont="1" applyBorder="1" applyAlignment="1">
      <alignment horizontal="center" vertical="center" wrapText="1"/>
    </xf>
    <xf numFmtId="14" fontId="17" fillId="2" borderId="1" xfId="0" applyNumberFormat="1" applyFont="1" applyFill="1" applyBorder="1" applyAlignment="1">
      <alignment horizontal="right" vertical="center" wrapText="1"/>
    </xf>
    <xf numFmtId="0" fontId="0" fillId="0" borderId="1" xfId="0" applyBorder="1" applyAlignment="1">
      <alignment horizontal="right" vertical="center" wrapText="1"/>
    </xf>
    <xf numFmtId="165" fontId="17" fillId="0" borderId="1" xfId="0" applyNumberFormat="1" applyFon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right" vertical="center"/>
    </xf>
    <xf numFmtId="4" fontId="17" fillId="2" borderId="1" xfId="0" applyNumberFormat="1" applyFont="1" applyFill="1" applyBorder="1" applyAlignment="1">
      <alignment horizontal="center" vertical="center" wrapText="1"/>
    </xf>
    <xf numFmtId="0" fontId="20" fillId="0" borderId="0" xfId="0" applyFont="1" applyAlignment="1">
      <alignment horizontal="right" vertical="center" wrapText="1"/>
    </xf>
    <xf numFmtId="0" fontId="17" fillId="0" borderId="0" xfId="0" applyFont="1" applyAlignment="1">
      <alignment horizontal="left"/>
    </xf>
    <xf numFmtId="0" fontId="2" fillId="0" borderId="0" xfId="0" applyFont="1" applyAlignment="1">
      <alignment horizontal="left" vertical="center" wrapText="1"/>
    </xf>
    <xf numFmtId="0" fontId="2" fillId="0" borderId="0" xfId="0" applyFont="1" applyAlignment="1">
      <alignment horizontal="right" vertical="center" wrapText="1"/>
    </xf>
    <xf numFmtId="0" fontId="2" fillId="0" borderId="0" xfId="0" applyFont="1"/>
    <xf numFmtId="49" fontId="17" fillId="0" borderId="1" xfId="0" applyNumberFormat="1" applyFont="1" applyBorder="1" applyAlignment="1">
      <alignment horizontal="center" vertical="center" wrapText="1"/>
    </xf>
    <xf numFmtId="9" fontId="17" fillId="2" borderId="1" xfId="0" applyNumberFormat="1" applyFont="1" applyFill="1" applyBorder="1" applyAlignment="1">
      <alignment horizontal="center" vertical="center" wrapText="1"/>
    </xf>
    <xf numFmtId="9" fontId="20" fillId="2" borderId="1" xfId="0" applyNumberFormat="1" applyFont="1" applyFill="1" applyBorder="1" applyAlignment="1">
      <alignment horizontal="center" vertical="center" wrapText="1"/>
    </xf>
  </cellXfs>
  <cellStyles count="6">
    <cellStyle name="Гиперссылка" xfId="1" builtinId="8"/>
    <cellStyle name="Гиперссылка 2" xfId="2" xr:uid="{00000000-0005-0000-0000-000001000000}"/>
    <cellStyle name="Обычный" xfId="0" builtinId="0"/>
    <cellStyle name="Обычный 2" xfId="3" xr:uid="{00000000-0005-0000-0000-000003000000}"/>
    <cellStyle name="Обычный 3" xfId="4" xr:uid="{00000000-0005-0000-0000-000004000000}"/>
    <cellStyle name="Финансовый" xfId="5"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hyperlink" Target="https://minfin.75.ru/byudzhet/konsolidirovannyy-kraevoy-byudzhet/zakony-o-byudzhete" TargetMode="External"/><Relationship Id="rId21" Type="http://schemas.openxmlformats.org/officeDocument/2006/relationships/hyperlink" Target="http://ufo.ulntc.ru/index.php?mgf=budget/open_budget&amp;slep=net" TargetMode="External"/><Relationship Id="rId42" Type="http://schemas.openxmlformats.org/officeDocument/2006/relationships/hyperlink" Target="https://fin.smolensk.ru/open/ob/g2023/" TargetMode="External"/><Relationship Id="rId47" Type="http://schemas.openxmlformats.org/officeDocument/2006/relationships/hyperlink" Target="https://df.gov35.ru/otkrytyy-byudzhet/zakony-ob-oblastnom-byudzhete/2023/index.php?ELEMENT_ID=15862" TargetMode="External"/><Relationship Id="rId63" Type="http://schemas.openxmlformats.org/officeDocument/2006/relationships/hyperlink" Target="https://www.mfur.ru/budjet/formirovanie/2023-god.php" TargetMode="External"/><Relationship Id="rId68" Type="http://schemas.openxmlformats.org/officeDocument/2006/relationships/hyperlink" Target="http://ufo.ulntc.ru:8080/dokumenty/utverzhdennyj-zakon-o-byudzhete/2023-god" TargetMode="External"/><Relationship Id="rId84" Type="http://schemas.openxmlformats.org/officeDocument/2006/relationships/hyperlink" Target="https://openbudget.49gov.ru/dokumenty" TargetMode="External"/><Relationship Id="rId89" Type="http://schemas.openxmlformats.org/officeDocument/2006/relationships/hyperlink" Target="https://minfin.novreg.ru/2023-god-prinyatye-oblastnye-zakony.html" TargetMode="External"/><Relationship Id="rId16" Type="http://schemas.openxmlformats.org/officeDocument/2006/relationships/hyperlink" Target="http://dfei.adm-nao.ru/zakony-o-byudzhete/" TargetMode="External"/><Relationship Id="rId11" Type="http://schemas.openxmlformats.org/officeDocument/2006/relationships/hyperlink" Target="https://www.mos.ru/findep/" TargetMode="External"/><Relationship Id="rId32" Type="http://schemas.openxmlformats.org/officeDocument/2006/relationships/hyperlink" Target="https://minfin.ryazangov.ru/documents/documents_RO/zakony-ob-oblastnom-byudzhete-ryazanskoy-oblasti/index.php" TargetMode="External"/><Relationship Id="rId37" Type="http://schemas.openxmlformats.org/officeDocument/2006/relationships/hyperlink" Target="https://irkobl.ru/sites/minfin/activity/obl/" TargetMode="External"/><Relationship Id="rId53" Type="http://schemas.openxmlformats.org/officeDocument/2006/relationships/hyperlink" Target="https://minfin.krasnodar.ru/activity/byudzhet/zakony-o-kraevom-byudzhete/year-2023" TargetMode="External"/><Relationship Id="rId58" Type="http://schemas.openxmlformats.org/officeDocument/2006/relationships/hyperlink" Target="http://minfin.alania.gov.ru/pages/856" TargetMode="External"/><Relationship Id="rId74" Type="http://schemas.openxmlformats.org/officeDocument/2006/relationships/hyperlink" Target="https://r-19.ru/authorities/ministry-of-finance-of-the-republic-of-khakassia/docs/9037/139874.html" TargetMode="External"/><Relationship Id="rId79" Type="http://schemas.openxmlformats.org/officeDocument/2006/relationships/hyperlink" Target="https://egov-buryatia.ru/minfin/activities/directions/respublikanskiy-byudzhet/2023-2025-gg/zakony-o-byudzhete.php" TargetMode="External"/><Relationship Id="rId5" Type="http://schemas.openxmlformats.org/officeDocument/2006/relationships/hyperlink" Target="http://ufin48.ru/Show/Tag/&#1041;&#1102;&#1076;&#1078;&#1077;&#1090;" TargetMode="External"/><Relationship Id="rId90" Type="http://schemas.openxmlformats.org/officeDocument/2006/relationships/hyperlink" Target="https://budget.rk.ifinmon.ru/dokumenty/zakon-o-byudzhete" TargetMode="External"/><Relationship Id="rId95" Type="http://schemas.openxmlformats.org/officeDocument/2006/relationships/hyperlink" Target="https://budget.permkrai.ru/budget/indicators2023" TargetMode="External"/><Relationship Id="rId22" Type="http://schemas.openxmlformats.org/officeDocument/2006/relationships/hyperlink" Target="https://minfin.midural.ru/document/category/20%20-%20document_list" TargetMode="External"/><Relationship Id="rId27" Type="http://schemas.openxmlformats.org/officeDocument/2006/relationships/hyperlink" Target="https://primorsky.ru/authorities/executive-agencies/departments/finance/laws.php" TargetMode="External"/><Relationship Id="rId43" Type="http://schemas.openxmlformats.org/officeDocument/2006/relationships/hyperlink" Target="https://portal.tverfin.ru/Menu/Page/645" TargetMode="External"/><Relationship Id="rId48" Type="http://schemas.openxmlformats.org/officeDocument/2006/relationships/hyperlink" Target="https://finance.lenobl.ru/ru/pravovaya-baza/oblastnoe-zakondatelstvo/byudzhet-lo/ob2023/" TargetMode="External"/><Relationship Id="rId64" Type="http://schemas.openxmlformats.org/officeDocument/2006/relationships/hyperlink" Target="https://minfin.cap.ru/action/activity/byudzhet/respublikanskij-byudzhet-chuvashskoj-respubliki/2023-god/zakon-chuvashskoj-respubliki-ot-25-noyabrya-2021-g" TargetMode="External"/><Relationship Id="rId69" Type="http://schemas.openxmlformats.org/officeDocument/2006/relationships/hyperlink" Target="http://www.finupr.kurganobl.ru/index.php?test=bud23" TargetMode="External"/><Relationship Id="rId80" Type="http://schemas.openxmlformats.org/officeDocument/2006/relationships/hyperlink" Target="https://minfin.sakha.gov.ru/zakony-o-bjudzhete/2023-2025-gg" TargetMode="External"/><Relationship Id="rId85" Type="http://schemas.openxmlformats.org/officeDocument/2006/relationships/hyperlink" Target="https://openbudget.sakhminfin.ru/Menu/Page/611" TargetMode="External"/><Relationship Id="rId3" Type="http://schemas.openxmlformats.org/officeDocument/2006/relationships/hyperlink" Target="https://df.ivanovoobl.ru/regionalnye-finansy/zakon-ob-oblastnom-byudzhete/" TargetMode="External"/><Relationship Id="rId12" Type="http://schemas.openxmlformats.org/officeDocument/2006/relationships/hyperlink" Target="https://dvinaland.ru/budget/zakon/" TargetMode="External"/><Relationship Id="rId17" Type="http://schemas.openxmlformats.org/officeDocument/2006/relationships/hyperlink" Target="http://minfinrd.ru/svedeniya_ob_ispolzovanii_vydelyaemykh_byudzhetnykh_sredstv" TargetMode="External"/><Relationship Id="rId25" Type="http://schemas.openxmlformats.org/officeDocument/2006/relationships/hyperlink" Target="http://mfnso.nso.ru/page/3777" TargetMode="External"/><Relationship Id="rId33" Type="http://schemas.openxmlformats.org/officeDocument/2006/relationships/hyperlink" Target="http://minfin09.ru/category/load/%d0%b1%d1%8e%d0%b4%d0%b6%d0%b5%d1%82-%d1%80%d0%b5%d1%81%d0%bf%d1%83%d0%b1%d0%bb%d0%b8%d0%ba%d0%b8/2021/" TargetMode="External"/><Relationship Id="rId38" Type="http://schemas.openxmlformats.org/officeDocument/2006/relationships/hyperlink" Target="http://beldepfin.ru/dokumenty/vse-dokumenty/zakon-belgorodskoj-oblasti-ot-23-dekabrya-20222912/" TargetMode="External"/><Relationship Id="rId46" Type="http://schemas.openxmlformats.org/officeDocument/2006/relationships/hyperlink" Target="https://minfin.rkomi.ru/deyatelnost/byudjet/zakony-respubliki-komi-proekty-zakonov-o-respublikanskom-byudjete-respubliki-komi-i-vnesenii-izmeneniy-v-nego/byudjet-na-2023-2025-gody" TargetMode="External"/><Relationship Id="rId59" Type="http://schemas.openxmlformats.org/officeDocument/2006/relationships/hyperlink" Target="https://www.minfinchr.ru/deyatelnost/byudzhet/planirovanie-byudzheta" TargetMode="External"/><Relationship Id="rId67" Type="http://schemas.openxmlformats.org/officeDocument/2006/relationships/hyperlink" Target="https://minfin.saratov.gov.ru/budget/zakon-o-byudzhete/zakon-ob-oblastnom-byudzhete/zakon-ob-oblastnom-byudzhete-2023-2025-g" TargetMode="External"/><Relationship Id="rId20" Type="http://schemas.openxmlformats.org/officeDocument/2006/relationships/hyperlink" Target="http://finance.pnzreg.ru/docs/bpo/osnzakon.php" TargetMode="External"/><Relationship Id="rId41" Type="http://schemas.openxmlformats.org/officeDocument/2006/relationships/hyperlink" Target="https://kursk.ru/region/economy/page-153264/" TargetMode="External"/><Relationship Id="rId54" Type="http://schemas.openxmlformats.org/officeDocument/2006/relationships/hyperlink" Target="https://minfin.donland.ru/documents/active/196032/" TargetMode="External"/><Relationship Id="rId62" Type="http://schemas.openxmlformats.org/officeDocument/2006/relationships/hyperlink" Target="https://minfin.tatarstan.ru/byudzhet-2023.htm?pub_id=3492276" TargetMode="External"/><Relationship Id="rId70" Type="http://schemas.openxmlformats.org/officeDocument/2006/relationships/hyperlink" Target="https://admtyumen.ru/ogv_ru/finance/finance/bugjet/more.htm?id=11938559@cmsArticle" TargetMode="External"/><Relationship Id="rId75" Type="http://schemas.openxmlformats.org/officeDocument/2006/relationships/hyperlink" Target="https://minfin.alregn.ru/bud/z2023/" TargetMode="External"/><Relationship Id="rId83" Type="http://schemas.openxmlformats.org/officeDocument/2006/relationships/hyperlink" Target="http://ob.fin.amurobl.ru/dokumenty/zakon/pervon_redakcia/2023" TargetMode="External"/><Relationship Id="rId88" Type="http://schemas.openxmlformats.org/officeDocument/2006/relationships/hyperlink" Target="http://budget.orb.ru/" TargetMode="External"/><Relationship Id="rId91" Type="http://schemas.openxmlformats.org/officeDocument/2006/relationships/hyperlink" Target="https://minfin.astrobl.ru/napravleniya-deyatelnosti/zakony-o-biudzete-astraxanskoi-oblasti" TargetMode="External"/><Relationship Id="rId96" Type="http://schemas.openxmlformats.org/officeDocument/2006/relationships/hyperlink" Target="https://mf.orb.ru/activity/26541/" TargetMode="External"/><Relationship Id="rId1" Type="http://schemas.openxmlformats.org/officeDocument/2006/relationships/hyperlink" Target="http://dtf.avo.ru/zakony-vladimirskoj-oblasti" TargetMode="External"/><Relationship Id="rId6" Type="http://schemas.openxmlformats.org/officeDocument/2006/relationships/hyperlink" Target="http://mef.mosreg.ru/" TargetMode="External"/><Relationship Id="rId15" Type="http://schemas.openxmlformats.org/officeDocument/2006/relationships/hyperlink" Target="http://bks.pskov.ru/ebudget/Show/Category/10?ItemId=257" TargetMode="External"/><Relationship Id="rId23" Type="http://schemas.openxmlformats.org/officeDocument/2006/relationships/hyperlink" Target="https://minfin74.ru/minfin/activities/budget/law/2023-2025.htm" TargetMode="External"/><Relationship Id="rId28" Type="http://schemas.openxmlformats.org/officeDocument/2006/relationships/hyperlink" Target="https://www.fin.amurobl.ru/pages/normativno-pravovye-akty/regionalnyy-uroven/zakony-ao/" TargetMode="External"/><Relationship Id="rId36" Type="http://schemas.openxmlformats.org/officeDocument/2006/relationships/hyperlink" Target="http://saratov.gov.ru/gov/auth/minfin/" TargetMode="External"/><Relationship Id="rId49" Type="http://schemas.openxmlformats.org/officeDocument/2006/relationships/hyperlink" Target="https://fincom.gov.spb.ru/budget/info/acts/1" TargetMode="External"/><Relationship Id="rId57" Type="http://schemas.openxmlformats.org/officeDocument/2006/relationships/hyperlink" Target="https://minfin.kbr.ru/activity/byudzhet/" TargetMode="External"/><Relationship Id="rId10" Type="http://schemas.openxmlformats.org/officeDocument/2006/relationships/hyperlink" Target="https://www.yarregion.ru/depts/depfin/tmpPages/docs.aspx" TargetMode="External"/><Relationship Id="rId31" Type="http://schemas.openxmlformats.org/officeDocument/2006/relationships/hyperlink" Target="https://&#1095;&#1091;&#1082;&#1086;&#1090;&#1082;&#1072;.&#1088;&#1092;/depfin/about/struktura-i-sostav/upravlenie-finansov/napravleniya-raboty/okruzhnoy-byudzhet/zakon-na-ocherednoy-finansovyy-god-i-na-planovyy-period.php" TargetMode="External"/><Relationship Id="rId44" Type="http://schemas.openxmlformats.org/officeDocument/2006/relationships/hyperlink" Target="https://budget.mos.ru/budget" TargetMode="External"/><Relationship Id="rId52" Type="http://schemas.openxmlformats.org/officeDocument/2006/relationships/hyperlink" Target="https://minfin.rk.gov.ru/ru/structure/2022_12_16_20_01_zakon_respubliki_krym_o_biudzhete_respubliki_krym_na_2023_god_i_na_planovyi_period_2024_i_2025_godov_ot_15_12_2022_355_zrk_2022" TargetMode="External"/><Relationship Id="rId60" Type="http://schemas.openxmlformats.org/officeDocument/2006/relationships/hyperlink" Target="https://minfin.bashkortostan.ru/documents/active/461819/" TargetMode="External"/><Relationship Id="rId65" Type="http://schemas.openxmlformats.org/officeDocument/2006/relationships/hyperlink" Target="https://mfin.permkrai.ru/dokumenty/277348/" TargetMode="External"/><Relationship Id="rId73" Type="http://schemas.openxmlformats.org/officeDocument/2006/relationships/hyperlink" Target="https://minfin.rtyva.ru/node/23572/" TargetMode="External"/><Relationship Id="rId78" Type="http://schemas.openxmlformats.org/officeDocument/2006/relationships/hyperlink" Target="https://depfin.tomsk.gov.ru/documents/front/view/id/84619" TargetMode="External"/><Relationship Id="rId81" Type="http://schemas.openxmlformats.org/officeDocument/2006/relationships/hyperlink" Target="https://www.kamgov.ru/minfin/budzet-2023" TargetMode="External"/><Relationship Id="rId86" Type="http://schemas.openxmlformats.org/officeDocument/2006/relationships/hyperlink" Target="https://mari-el.gov.ru/ministries/minfin/pages/ZakRespORespBudg/" TargetMode="External"/><Relationship Id="rId94" Type="http://schemas.openxmlformats.org/officeDocument/2006/relationships/hyperlink" Target="https://budget.cap.ru/Show/Category/326?ItemId=1057" TargetMode="External"/><Relationship Id="rId4" Type="http://schemas.openxmlformats.org/officeDocument/2006/relationships/hyperlink" Target="http://budget.mosreg.ru/byudzhet-dlya-grazhdan/zakon-o-byudzhete-mo/" TargetMode="External"/><Relationship Id="rId9" Type="http://schemas.openxmlformats.org/officeDocument/2006/relationships/hyperlink" Target="https://minfin.tularegion.ru/documents/?SECTION=1579" TargetMode="External"/><Relationship Id="rId13" Type="http://schemas.openxmlformats.org/officeDocument/2006/relationships/hyperlink" Target="https://minfin39.ru/budget/process/current/" TargetMode="External"/><Relationship Id="rId18" Type="http://schemas.openxmlformats.org/officeDocument/2006/relationships/hyperlink" Target="http://www.mfsk.ru/law/z_sk" TargetMode="External"/><Relationship Id="rId39" Type="http://schemas.openxmlformats.org/officeDocument/2006/relationships/hyperlink" Target="https://www.govvrn.ru/npafin?p_p_id=Foldersanddocuments_WAR_foldersanddocumentsportlet&amp;p_p_lifecycle=0&amp;p_p_state=normal&amp;p_p_mode=view&amp;folderId=11117725" TargetMode="External"/><Relationship Id="rId34" Type="http://schemas.openxmlformats.org/officeDocument/2006/relationships/hyperlink" Target="http://forcitizens.ru/ob/dokumenty/zakon-o-byudzhete/2022-god" TargetMode="External"/><Relationship Id="rId50" Type="http://schemas.openxmlformats.org/officeDocument/2006/relationships/hyperlink" Target="http://minfin.kalmregion.ru/deyatelnost/byudzhet-respubliki-kalmykiya/" TargetMode="External"/><Relationship Id="rId55" Type="http://schemas.openxmlformats.org/officeDocument/2006/relationships/hyperlink" Target="https://fin.sev.gov.ru/pravovye-aktu/regionalnye-npa/regionalnye-npa-2021/" TargetMode="External"/><Relationship Id="rId76" Type="http://schemas.openxmlformats.org/officeDocument/2006/relationships/hyperlink" Target="https://www.ofukem.ru/budget/laws2022-2024/" TargetMode="External"/><Relationship Id="rId97" Type="http://schemas.openxmlformats.org/officeDocument/2006/relationships/hyperlink" Target="https://www.eao.ru/isp-vlast/departament-finansov-pravitelstva-evreyskoy-avtonomnoy-oblasti/byudzhet/" TargetMode="External"/><Relationship Id="rId7" Type="http://schemas.openxmlformats.org/officeDocument/2006/relationships/hyperlink" Target="https://orel-region.ru/index.php?head=20&amp;part=25&amp;in=131" TargetMode="External"/><Relationship Id="rId71" Type="http://schemas.openxmlformats.org/officeDocument/2006/relationships/hyperlink" Target="https://www.yamalfin.ru/index.php?option=com_content&amp;view=section&amp;id=53&amp;Itemid=156" TargetMode="External"/><Relationship Id="rId92" Type="http://schemas.openxmlformats.org/officeDocument/2006/relationships/hyperlink" Target="http://portal.minfinrd.ru/Menu/Page/1128" TargetMode="External"/><Relationship Id="rId2" Type="http://schemas.openxmlformats.org/officeDocument/2006/relationships/hyperlink" Target="http://www.tverfin.ru/np-baza/regionalnye-normativnye-pravovye-akty/" TargetMode="External"/><Relationship Id="rId29" Type="http://schemas.openxmlformats.org/officeDocument/2006/relationships/hyperlink" Target="https://minfin.49gov.ru/documents/" TargetMode="External"/><Relationship Id="rId24" Type="http://schemas.openxmlformats.org/officeDocument/2006/relationships/hyperlink" Target="http://minfin.krskstate.ru/openbudget/law" TargetMode="External"/><Relationship Id="rId40" Type="http://schemas.openxmlformats.org/officeDocument/2006/relationships/hyperlink" Target="https://depfin.kostroma.gov.ru/byudzhet/zakony-o-byudzhete/" TargetMode="External"/><Relationship Id="rId45" Type="http://schemas.openxmlformats.org/officeDocument/2006/relationships/hyperlink" Target="http://minfin.karelia.ru/2023-2025-gody/" TargetMode="External"/><Relationship Id="rId66" Type="http://schemas.openxmlformats.org/officeDocument/2006/relationships/hyperlink" Target="https://minfin-samara.ru/2023-2025/" TargetMode="External"/><Relationship Id="rId87" Type="http://schemas.openxmlformats.org/officeDocument/2006/relationships/hyperlink" Target="http://openbudget.gfu.ru/budget/law/" TargetMode="External"/><Relationship Id="rId61" Type="http://schemas.openxmlformats.org/officeDocument/2006/relationships/hyperlink" Target="https://www.minfinrm.ru/norm-akty-new/zakony/norm-prav-akty/budget-2022/" TargetMode="External"/><Relationship Id="rId82" Type="http://schemas.openxmlformats.org/officeDocument/2006/relationships/hyperlink" Target="https://minfin.khabkrai.ru/portal/Show/Category/34?ItemId=227" TargetMode="External"/><Relationship Id="rId19" Type="http://schemas.openxmlformats.org/officeDocument/2006/relationships/hyperlink" Target="http://mf.nnov.ru/index.php?option=com_k2&amp;view=item&amp;id=1509:zakony-ob-oblastnom-byudzhete-na-ocherednoj-finansovyj-god-i-na-planovyj-period&amp;Itemid=553" TargetMode="External"/><Relationship Id="rId14" Type="http://schemas.openxmlformats.org/officeDocument/2006/relationships/hyperlink" Target="https://minfin.gov-murman.ru/open-budget/regional_budget/law_of_budget/" TargetMode="External"/><Relationship Id="rId30" Type="http://schemas.openxmlformats.org/officeDocument/2006/relationships/hyperlink" Target="http://sakhminfin.ru/" TargetMode="External"/><Relationship Id="rId35" Type="http://schemas.openxmlformats.org/officeDocument/2006/relationships/hyperlink" Target="http://www.minfin.kirov.ru/otkrytyy-byudzhet/dlya-spetsialistov/oblastnoy-byudzhet/%d0%9f%d0%bb%d0%b0%d0%bd%d0%b8%d1%80%d0%be%d0%b2%d0%b0%d0%bd%d0%b8%d0%b5%20%d0%b1%d1%8e%d0%b4%d0%b6%d0%b5%d1%82%d0%b0/" TargetMode="External"/><Relationship Id="rId56" Type="http://schemas.openxmlformats.org/officeDocument/2006/relationships/hyperlink" Target="https://ob.sev.gov.ru/dokumenty/zakon-o-byudzhete/2023-i-planovyj-period-2024-2025-gg" TargetMode="External"/><Relationship Id="rId77" Type="http://schemas.openxmlformats.org/officeDocument/2006/relationships/hyperlink" Target="https://mf.omskportal.ru/oiv/mf/otrasl/otkrbudg/obl-budget/2023%E2%80%932025" TargetMode="External"/><Relationship Id="rId8" Type="http://schemas.openxmlformats.org/officeDocument/2006/relationships/hyperlink" Target="http://depfin.orel-region.ru:8096/ebudget/Menu/Page/36" TargetMode="External"/><Relationship Id="rId51" Type="http://schemas.openxmlformats.org/officeDocument/2006/relationships/hyperlink" Target="https://minfin01-maykop.ru/Show/Content/3561?ParentItemId=55" TargetMode="External"/><Relationship Id="rId72" Type="http://schemas.openxmlformats.org/officeDocument/2006/relationships/hyperlink" Target="https://www.minfin-altai.ru/deyatelnost/proekt-byudzheta-zakony-o-byudzhete-zakony-ob-ispolnenii-byudzheta/2023-2025/zakon-o-byudzhete/" TargetMode="External"/><Relationship Id="rId93" Type="http://schemas.openxmlformats.org/officeDocument/2006/relationships/hyperlink" Target="https://mfri.ru/index.php/open-budget/pervonachalno-utverzhdennyj-byudzhet" TargetMode="External"/><Relationship Id="rId98" Type="http://schemas.openxmlformats.org/officeDocument/2006/relationships/hyperlink" Target="https://bryanskoblfin.ru/open/Show/Content/2236?ParentItemId=278"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8518C-6B6F-C54D-A2EA-F213C9F0A5DC}">
  <dimension ref="A1:I95"/>
  <sheetViews>
    <sheetView zoomScaleNormal="100" zoomScalePageLayoutView="80" workbookViewId="0">
      <pane ySplit="4" topLeftCell="A5" activePane="bottomLeft" state="frozen"/>
      <selection activeCell="G33" sqref="G33:G2385"/>
      <selection pane="bottomLeft"/>
    </sheetView>
  </sheetViews>
  <sheetFormatPr baseColWidth="10" defaultColWidth="8.83203125" defaultRowHeight="15"/>
  <cols>
    <col min="1" max="1" width="24.83203125" customWidth="1"/>
    <col min="2" max="3" width="12.83203125" customWidth="1"/>
    <col min="4" max="4" width="11.5" customWidth="1"/>
    <col min="5" max="5" width="20.83203125" customWidth="1"/>
    <col min="6" max="6" width="18.83203125" customWidth="1"/>
    <col min="7" max="7" width="20.83203125" customWidth="1"/>
    <col min="8" max="8" width="25.83203125" customWidth="1"/>
    <col min="9" max="9" width="28.83203125" customWidth="1"/>
  </cols>
  <sheetData>
    <row r="1" spans="1:9" ht="30" customHeight="1">
      <c r="A1" s="36" t="s">
        <v>664</v>
      </c>
      <c r="B1" s="37"/>
      <c r="C1" s="37"/>
      <c r="D1" s="37"/>
      <c r="E1" s="37"/>
      <c r="F1" s="37"/>
      <c r="G1" s="37"/>
      <c r="H1" s="37"/>
      <c r="I1" s="37"/>
    </row>
    <row r="2" spans="1:9" ht="16" customHeight="1">
      <c r="A2" s="38" t="s">
        <v>666</v>
      </c>
      <c r="B2" s="39"/>
      <c r="C2" s="39"/>
      <c r="D2" s="39"/>
      <c r="E2" s="39"/>
      <c r="F2" s="39"/>
      <c r="G2" s="39"/>
      <c r="H2" s="39"/>
      <c r="I2" s="39"/>
    </row>
    <row r="3" spans="1:9" ht="128" customHeight="1">
      <c r="A3" s="102" t="s">
        <v>659</v>
      </c>
      <c r="B3" s="103" t="s">
        <v>105</v>
      </c>
      <c r="C3" s="103" t="s">
        <v>103</v>
      </c>
      <c r="D3" s="103" t="s">
        <v>102</v>
      </c>
      <c r="E3" s="106" t="s">
        <v>430</v>
      </c>
      <c r="F3" s="106" t="s">
        <v>431</v>
      </c>
      <c r="G3" s="106" t="s">
        <v>432</v>
      </c>
      <c r="H3" s="106" t="s">
        <v>433</v>
      </c>
      <c r="I3" s="102" t="s">
        <v>434</v>
      </c>
    </row>
    <row r="4" spans="1:9" ht="16" customHeight="1">
      <c r="A4" s="34" t="s">
        <v>82</v>
      </c>
      <c r="B4" s="11" t="s">
        <v>104</v>
      </c>
      <c r="C4" s="11" t="s">
        <v>83</v>
      </c>
      <c r="D4" s="11" t="s">
        <v>83</v>
      </c>
      <c r="E4" s="10" t="s">
        <v>83</v>
      </c>
      <c r="F4" s="12" t="s">
        <v>83</v>
      </c>
      <c r="G4" s="12" t="s">
        <v>83</v>
      </c>
      <c r="H4" s="12" t="s">
        <v>83</v>
      </c>
      <c r="I4" s="12" t="s">
        <v>83</v>
      </c>
    </row>
    <row r="5" spans="1:9" s="9" customFormat="1" ht="15" customHeight="1">
      <c r="A5" s="35" t="s">
        <v>103</v>
      </c>
      <c r="B5" s="17"/>
      <c r="C5" s="17"/>
      <c r="D5" s="18">
        <f>SUM(E5:I5)</f>
        <v>12</v>
      </c>
      <c r="E5" s="19">
        <v>4</v>
      </c>
      <c r="F5" s="20">
        <v>2</v>
      </c>
      <c r="G5" s="20">
        <v>2</v>
      </c>
      <c r="H5" s="20">
        <v>2</v>
      </c>
      <c r="I5" s="20">
        <v>2</v>
      </c>
    </row>
    <row r="6" spans="1:9" s="9" customFormat="1" ht="15" customHeight="1">
      <c r="A6" s="162" t="s">
        <v>191</v>
      </c>
      <c r="B6" s="17"/>
      <c r="C6" s="17"/>
      <c r="D6" s="18"/>
      <c r="E6" s="19"/>
      <c r="F6" s="20"/>
      <c r="G6" s="20"/>
      <c r="H6" s="20"/>
      <c r="I6" s="20"/>
    </row>
    <row r="7" spans="1:9" ht="16" customHeight="1">
      <c r="A7" s="107" t="s">
        <v>2</v>
      </c>
      <c r="B7" s="15">
        <f t="shared" ref="B7:B38" si="0">ROUND(D7/C7*100,1)</f>
        <v>100</v>
      </c>
      <c r="C7" s="15">
        <f t="shared" ref="C7:C46" si="1">$D$5</f>
        <v>12</v>
      </c>
      <c r="D7" s="15">
        <f t="shared" ref="D7:D38" si="2">SUM(E7:I7)</f>
        <v>12</v>
      </c>
      <c r="E7" s="16">
        <f>'1.1'!F8</f>
        <v>4</v>
      </c>
      <c r="F7" s="13">
        <f>'1.2'!C8</f>
        <v>2</v>
      </c>
      <c r="G7" s="13">
        <f>'1.3'!C8</f>
        <v>2</v>
      </c>
      <c r="H7" s="13">
        <f>'1.4'!E9</f>
        <v>2</v>
      </c>
      <c r="I7" s="13">
        <f>'1.5'!E9</f>
        <v>2</v>
      </c>
    </row>
    <row r="8" spans="1:9" ht="16" customHeight="1">
      <c r="A8" s="107" t="s">
        <v>3</v>
      </c>
      <c r="B8" s="15">
        <f t="shared" si="0"/>
        <v>100</v>
      </c>
      <c r="C8" s="15">
        <f t="shared" si="1"/>
        <v>12</v>
      </c>
      <c r="D8" s="15">
        <f t="shared" si="2"/>
        <v>12</v>
      </c>
      <c r="E8" s="16">
        <f>'1.1'!F9</f>
        <v>4</v>
      </c>
      <c r="F8" s="13">
        <f>'1.2'!C9</f>
        <v>2</v>
      </c>
      <c r="G8" s="13">
        <f>'1.3'!C9</f>
        <v>2</v>
      </c>
      <c r="H8" s="13">
        <f>'1.4'!E10</f>
        <v>2</v>
      </c>
      <c r="I8" s="13">
        <f>'1.5'!E10</f>
        <v>2</v>
      </c>
    </row>
    <row r="9" spans="1:9" ht="16" customHeight="1">
      <c r="A9" s="107" t="s">
        <v>4</v>
      </c>
      <c r="B9" s="15">
        <f t="shared" si="0"/>
        <v>100</v>
      </c>
      <c r="C9" s="15">
        <f t="shared" si="1"/>
        <v>12</v>
      </c>
      <c r="D9" s="15">
        <f t="shared" si="2"/>
        <v>12</v>
      </c>
      <c r="E9" s="16">
        <f>'1.1'!F10</f>
        <v>4</v>
      </c>
      <c r="F9" s="13">
        <f>'1.2'!C10</f>
        <v>2</v>
      </c>
      <c r="G9" s="13">
        <f>'1.3'!C10</f>
        <v>2</v>
      </c>
      <c r="H9" s="13">
        <f>'1.4'!E11</f>
        <v>2</v>
      </c>
      <c r="I9" s="13">
        <f>'1.5'!E11</f>
        <v>2</v>
      </c>
    </row>
    <row r="10" spans="1:9" ht="16" customHeight="1">
      <c r="A10" s="107" t="s">
        <v>5</v>
      </c>
      <c r="B10" s="15">
        <f t="shared" si="0"/>
        <v>100</v>
      </c>
      <c r="C10" s="15">
        <f t="shared" si="1"/>
        <v>12</v>
      </c>
      <c r="D10" s="15">
        <f t="shared" si="2"/>
        <v>12</v>
      </c>
      <c r="E10" s="16">
        <f>'1.1'!F11</f>
        <v>4</v>
      </c>
      <c r="F10" s="13">
        <f>'1.2'!C11</f>
        <v>2</v>
      </c>
      <c r="G10" s="13">
        <f>'1.3'!C11</f>
        <v>2</v>
      </c>
      <c r="H10" s="13">
        <f>'1.4'!E12</f>
        <v>2</v>
      </c>
      <c r="I10" s="13">
        <f>'1.5'!E12</f>
        <v>2</v>
      </c>
    </row>
    <row r="11" spans="1:9" ht="16" customHeight="1">
      <c r="A11" s="107" t="s">
        <v>6</v>
      </c>
      <c r="B11" s="15">
        <f t="shared" si="0"/>
        <v>100</v>
      </c>
      <c r="C11" s="15">
        <f t="shared" si="1"/>
        <v>12</v>
      </c>
      <c r="D11" s="15">
        <f t="shared" si="2"/>
        <v>12</v>
      </c>
      <c r="E11" s="16">
        <f>'1.1'!F12</f>
        <v>4</v>
      </c>
      <c r="F11" s="13">
        <f>'1.2'!C12</f>
        <v>2</v>
      </c>
      <c r="G11" s="13">
        <f>'1.3'!C12</f>
        <v>2</v>
      </c>
      <c r="H11" s="13">
        <f>'1.4'!E13</f>
        <v>2</v>
      </c>
      <c r="I11" s="13">
        <f>'1.5'!E13</f>
        <v>2</v>
      </c>
    </row>
    <row r="12" spans="1:9" ht="16" customHeight="1">
      <c r="A12" s="107" t="s">
        <v>8</v>
      </c>
      <c r="B12" s="15">
        <f t="shared" si="0"/>
        <v>100</v>
      </c>
      <c r="C12" s="15">
        <f t="shared" si="1"/>
        <v>12</v>
      </c>
      <c r="D12" s="15">
        <f t="shared" si="2"/>
        <v>12</v>
      </c>
      <c r="E12" s="16">
        <f>'1.1'!F14</f>
        <v>4</v>
      </c>
      <c r="F12" s="13">
        <f>'1.2'!C14</f>
        <v>2</v>
      </c>
      <c r="G12" s="13">
        <f>'1.3'!C14</f>
        <v>2</v>
      </c>
      <c r="H12" s="13">
        <f>'1.4'!E15</f>
        <v>2</v>
      </c>
      <c r="I12" s="13">
        <f>'1.5'!E15</f>
        <v>2</v>
      </c>
    </row>
    <row r="13" spans="1:9" ht="16" customHeight="1">
      <c r="A13" s="107" t="s">
        <v>10</v>
      </c>
      <c r="B13" s="15">
        <f t="shared" si="0"/>
        <v>100</v>
      </c>
      <c r="C13" s="15">
        <f t="shared" si="1"/>
        <v>12</v>
      </c>
      <c r="D13" s="15">
        <f t="shared" si="2"/>
        <v>12</v>
      </c>
      <c r="E13" s="16">
        <f>'1.1'!F16</f>
        <v>4</v>
      </c>
      <c r="F13" s="13">
        <f>'1.2'!C16</f>
        <v>2</v>
      </c>
      <c r="G13" s="13">
        <f>'1.3'!C16</f>
        <v>2</v>
      </c>
      <c r="H13" s="13">
        <f>'1.4'!E17</f>
        <v>2</v>
      </c>
      <c r="I13" s="13">
        <f>'1.5'!E17</f>
        <v>2</v>
      </c>
    </row>
    <row r="14" spans="1:9" ht="16" customHeight="1">
      <c r="A14" s="107" t="s">
        <v>19</v>
      </c>
      <c r="B14" s="15">
        <f t="shared" si="0"/>
        <v>100</v>
      </c>
      <c r="C14" s="15">
        <f t="shared" si="1"/>
        <v>12</v>
      </c>
      <c r="D14" s="15">
        <f t="shared" si="2"/>
        <v>12</v>
      </c>
      <c r="E14" s="16">
        <f>'1.1'!F26</f>
        <v>4</v>
      </c>
      <c r="F14" s="13">
        <f>'1.2'!C26</f>
        <v>2</v>
      </c>
      <c r="G14" s="13">
        <f>'1.3'!C26</f>
        <v>2</v>
      </c>
      <c r="H14" s="13">
        <f>'1.4'!E27</f>
        <v>2</v>
      </c>
      <c r="I14" s="13">
        <f>'1.5'!E27</f>
        <v>2</v>
      </c>
    </row>
    <row r="15" spans="1:9" s="7" customFormat="1" ht="16" customHeight="1">
      <c r="A15" s="107" t="s">
        <v>21</v>
      </c>
      <c r="B15" s="15">
        <f t="shared" si="0"/>
        <v>100</v>
      </c>
      <c r="C15" s="15">
        <f t="shared" si="1"/>
        <v>12</v>
      </c>
      <c r="D15" s="15">
        <f t="shared" si="2"/>
        <v>12</v>
      </c>
      <c r="E15" s="16">
        <f>'1.1'!F28</f>
        <v>4</v>
      </c>
      <c r="F15" s="13">
        <f>'1.2'!C28</f>
        <v>2</v>
      </c>
      <c r="G15" s="13">
        <f>'1.3'!C28</f>
        <v>2</v>
      </c>
      <c r="H15" s="13">
        <f>'1.4'!E29</f>
        <v>2</v>
      </c>
      <c r="I15" s="13">
        <f>'1.5'!E29</f>
        <v>2</v>
      </c>
    </row>
    <row r="16" spans="1:9" ht="16" customHeight="1">
      <c r="A16" s="107" t="s">
        <v>22</v>
      </c>
      <c r="B16" s="15">
        <f t="shared" si="0"/>
        <v>100</v>
      </c>
      <c r="C16" s="15">
        <f t="shared" si="1"/>
        <v>12</v>
      </c>
      <c r="D16" s="15">
        <f t="shared" si="2"/>
        <v>12</v>
      </c>
      <c r="E16" s="16">
        <f>'1.1'!F29</f>
        <v>4</v>
      </c>
      <c r="F16" s="13">
        <f>'1.2'!C29</f>
        <v>2</v>
      </c>
      <c r="G16" s="13">
        <f>'1.3'!C29</f>
        <v>2</v>
      </c>
      <c r="H16" s="13">
        <f>'1.4'!E30</f>
        <v>2</v>
      </c>
      <c r="I16" s="13">
        <f>'1.5'!E30</f>
        <v>2</v>
      </c>
    </row>
    <row r="17" spans="1:9" ht="16" customHeight="1">
      <c r="A17" s="107" t="s">
        <v>31</v>
      </c>
      <c r="B17" s="15">
        <f t="shared" si="0"/>
        <v>100</v>
      </c>
      <c r="C17" s="15">
        <f t="shared" si="1"/>
        <v>12</v>
      </c>
      <c r="D17" s="15">
        <f t="shared" si="2"/>
        <v>12</v>
      </c>
      <c r="E17" s="16">
        <f>'1.1'!F39</f>
        <v>4</v>
      </c>
      <c r="F17" s="13">
        <f>'1.2'!C39</f>
        <v>2</v>
      </c>
      <c r="G17" s="13">
        <f>'1.3'!C39</f>
        <v>2</v>
      </c>
      <c r="H17" s="13">
        <f>'1.4'!E40</f>
        <v>2</v>
      </c>
      <c r="I17" s="13">
        <f>'1.5'!E40</f>
        <v>2</v>
      </c>
    </row>
    <row r="18" spans="1:9" ht="16" customHeight="1">
      <c r="A18" s="107" t="s">
        <v>87</v>
      </c>
      <c r="B18" s="15">
        <f t="shared" si="0"/>
        <v>100</v>
      </c>
      <c r="C18" s="15">
        <f t="shared" si="1"/>
        <v>12</v>
      </c>
      <c r="D18" s="15">
        <f t="shared" si="2"/>
        <v>12</v>
      </c>
      <c r="E18" s="16">
        <f>'1.1'!F40</f>
        <v>4</v>
      </c>
      <c r="F18" s="13">
        <f>'1.2'!C40</f>
        <v>2</v>
      </c>
      <c r="G18" s="13">
        <f>'1.3'!C40</f>
        <v>2</v>
      </c>
      <c r="H18" s="13">
        <f>'1.4'!E41</f>
        <v>2</v>
      </c>
      <c r="I18" s="13">
        <f>'1.5'!E41</f>
        <v>2</v>
      </c>
    </row>
    <row r="19" spans="1:9" s="7" customFormat="1" ht="16" customHeight="1">
      <c r="A19" s="107" t="s">
        <v>32</v>
      </c>
      <c r="B19" s="15">
        <f t="shared" si="0"/>
        <v>100</v>
      </c>
      <c r="C19" s="15">
        <f t="shared" si="1"/>
        <v>12</v>
      </c>
      <c r="D19" s="15">
        <f t="shared" si="2"/>
        <v>12</v>
      </c>
      <c r="E19" s="16">
        <f>'1.1'!F41</f>
        <v>4</v>
      </c>
      <c r="F19" s="13">
        <f>'1.2'!C41</f>
        <v>2</v>
      </c>
      <c r="G19" s="13">
        <f>'1.3'!C41</f>
        <v>2</v>
      </c>
      <c r="H19" s="13">
        <f>'1.4'!E42</f>
        <v>2</v>
      </c>
      <c r="I19" s="13">
        <f>'1.5'!E42</f>
        <v>2</v>
      </c>
    </row>
    <row r="20" spans="1:9" ht="16" customHeight="1">
      <c r="A20" s="107" t="s">
        <v>35</v>
      </c>
      <c r="B20" s="15">
        <f t="shared" si="0"/>
        <v>100</v>
      </c>
      <c r="C20" s="15">
        <f t="shared" si="1"/>
        <v>12</v>
      </c>
      <c r="D20" s="15">
        <f t="shared" si="2"/>
        <v>12</v>
      </c>
      <c r="E20" s="16">
        <f>'1.1'!F44</f>
        <v>4</v>
      </c>
      <c r="F20" s="13">
        <f>'1.2'!C44</f>
        <v>2</v>
      </c>
      <c r="G20" s="13">
        <f>'1.3'!C44</f>
        <v>2</v>
      </c>
      <c r="H20" s="13">
        <f>'1.4'!E45</f>
        <v>2</v>
      </c>
      <c r="I20" s="13">
        <f>'1.5'!E45</f>
        <v>2</v>
      </c>
    </row>
    <row r="21" spans="1:9" ht="16" customHeight="1">
      <c r="A21" s="107" t="s">
        <v>42</v>
      </c>
      <c r="B21" s="15">
        <f t="shared" si="0"/>
        <v>100</v>
      </c>
      <c r="C21" s="15">
        <f t="shared" si="1"/>
        <v>12</v>
      </c>
      <c r="D21" s="15">
        <f t="shared" si="2"/>
        <v>12</v>
      </c>
      <c r="E21" s="16">
        <f>'1.1'!F53</f>
        <v>4</v>
      </c>
      <c r="F21" s="13">
        <f>'1.2'!C53</f>
        <v>2</v>
      </c>
      <c r="G21" s="13">
        <f>'1.3'!C53</f>
        <v>2</v>
      </c>
      <c r="H21" s="13">
        <f>'1.4'!E54</f>
        <v>2</v>
      </c>
      <c r="I21" s="13">
        <f>'1.5'!E54</f>
        <v>2</v>
      </c>
    </row>
    <row r="22" spans="1:9" ht="16" customHeight="1">
      <c r="A22" s="107" t="s">
        <v>44</v>
      </c>
      <c r="B22" s="15">
        <f t="shared" si="0"/>
        <v>100</v>
      </c>
      <c r="C22" s="15">
        <f t="shared" si="1"/>
        <v>12</v>
      </c>
      <c r="D22" s="15">
        <f t="shared" si="2"/>
        <v>12</v>
      </c>
      <c r="E22" s="16">
        <f>'1.1'!F55</f>
        <v>4</v>
      </c>
      <c r="F22" s="13">
        <f>'1.2'!C55</f>
        <v>2</v>
      </c>
      <c r="G22" s="13">
        <f>'1.3'!C55</f>
        <v>2</v>
      </c>
      <c r="H22" s="13">
        <f>'1.4'!E56</f>
        <v>2</v>
      </c>
      <c r="I22" s="13">
        <f>'1.5'!E56</f>
        <v>2</v>
      </c>
    </row>
    <row r="23" spans="1:9" ht="16" customHeight="1">
      <c r="A23" s="107" t="s">
        <v>549</v>
      </c>
      <c r="B23" s="15">
        <f t="shared" si="0"/>
        <v>100</v>
      </c>
      <c r="C23" s="15">
        <f t="shared" si="1"/>
        <v>12</v>
      </c>
      <c r="D23" s="15">
        <f t="shared" si="2"/>
        <v>12</v>
      </c>
      <c r="E23" s="16">
        <f>'1.1'!F60</f>
        <v>4</v>
      </c>
      <c r="F23" s="13">
        <f>'1.2'!C60</f>
        <v>2</v>
      </c>
      <c r="G23" s="13">
        <f>'1.3'!C60</f>
        <v>2</v>
      </c>
      <c r="H23" s="13">
        <f>'1.4'!E61</f>
        <v>2</v>
      </c>
      <c r="I23" s="13">
        <f>'1.5'!E61</f>
        <v>2</v>
      </c>
    </row>
    <row r="24" spans="1:9" ht="16" customHeight="1">
      <c r="A24" s="107" t="s">
        <v>49</v>
      </c>
      <c r="B24" s="15">
        <f t="shared" si="0"/>
        <v>100</v>
      </c>
      <c r="C24" s="15">
        <f t="shared" si="1"/>
        <v>12</v>
      </c>
      <c r="D24" s="15">
        <f t="shared" si="2"/>
        <v>12</v>
      </c>
      <c r="E24" s="16">
        <f>'1.1'!F62</f>
        <v>4</v>
      </c>
      <c r="F24" s="13">
        <f>'1.2'!C62</f>
        <v>2</v>
      </c>
      <c r="G24" s="13">
        <f>'1.3'!C62</f>
        <v>2</v>
      </c>
      <c r="H24" s="13">
        <f>'1.4'!E63</f>
        <v>2</v>
      </c>
      <c r="I24" s="13">
        <f>'1.5'!E63</f>
        <v>2</v>
      </c>
    </row>
    <row r="25" spans="1:9" ht="16" customHeight="1">
      <c r="A25" s="107" t="s">
        <v>50</v>
      </c>
      <c r="B25" s="15">
        <f t="shared" si="0"/>
        <v>100</v>
      </c>
      <c r="C25" s="15">
        <f t="shared" si="1"/>
        <v>12</v>
      </c>
      <c r="D25" s="15">
        <f t="shared" si="2"/>
        <v>12</v>
      </c>
      <c r="E25" s="16">
        <f>'1.1'!F64</f>
        <v>4</v>
      </c>
      <c r="F25" s="13">
        <f>'1.2'!C64</f>
        <v>2</v>
      </c>
      <c r="G25" s="13">
        <f>'1.3'!C64</f>
        <v>2</v>
      </c>
      <c r="H25" s="13">
        <f>'1.4'!E65</f>
        <v>2</v>
      </c>
      <c r="I25" s="13">
        <f>'1.5'!E65</f>
        <v>2</v>
      </c>
    </row>
    <row r="26" spans="1:9" ht="16" customHeight="1">
      <c r="A26" s="107" t="s">
        <v>53</v>
      </c>
      <c r="B26" s="15">
        <f t="shared" si="0"/>
        <v>100</v>
      </c>
      <c r="C26" s="15">
        <f t="shared" si="1"/>
        <v>12</v>
      </c>
      <c r="D26" s="15">
        <f t="shared" si="2"/>
        <v>12</v>
      </c>
      <c r="E26" s="16">
        <f>'1.1'!F67</f>
        <v>4</v>
      </c>
      <c r="F26" s="13">
        <f>'1.2'!C67</f>
        <v>2</v>
      </c>
      <c r="G26" s="13">
        <f>'1.3'!C67</f>
        <v>2</v>
      </c>
      <c r="H26" s="13">
        <f>'1.4'!E68</f>
        <v>2</v>
      </c>
      <c r="I26" s="13">
        <f>'1.5'!E68</f>
        <v>2</v>
      </c>
    </row>
    <row r="27" spans="1:9" s="7" customFormat="1" ht="16" customHeight="1">
      <c r="A27" s="107" t="s">
        <v>59</v>
      </c>
      <c r="B27" s="15">
        <f t="shared" si="0"/>
        <v>100</v>
      </c>
      <c r="C27" s="15">
        <f t="shared" si="1"/>
        <v>12</v>
      </c>
      <c r="D27" s="15">
        <f t="shared" si="2"/>
        <v>12</v>
      </c>
      <c r="E27" s="16">
        <f>'1.1'!F73</f>
        <v>4</v>
      </c>
      <c r="F27" s="13">
        <f>'1.2'!C73</f>
        <v>2</v>
      </c>
      <c r="G27" s="13">
        <f>'1.3'!C73</f>
        <v>2</v>
      </c>
      <c r="H27" s="13">
        <f>'1.4'!E74</f>
        <v>2</v>
      </c>
      <c r="I27" s="13">
        <f>'1.5'!E74</f>
        <v>2</v>
      </c>
    </row>
    <row r="28" spans="1:9" ht="16" customHeight="1">
      <c r="A28" s="107" t="s">
        <v>551</v>
      </c>
      <c r="B28" s="15">
        <f t="shared" si="0"/>
        <v>100</v>
      </c>
      <c r="C28" s="15">
        <f t="shared" si="1"/>
        <v>12</v>
      </c>
      <c r="D28" s="15">
        <f t="shared" si="2"/>
        <v>12</v>
      </c>
      <c r="E28" s="16">
        <f>'1.1'!F74</f>
        <v>4</v>
      </c>
      <c r="F28" s="13">
        <f>'1.2'!C74</f>
        <v>2</v>
      </c>
      <c r="G28" s="13">
        <f>'1.3'!C74</f>
        <v>2</v>
      </c>
      <c r="H28" s="13">
        <f>'1.4'!E75</f>
        <v>2</v>
      </c>
      <c r="I28" s="13">
        <f>'1.5'!E75</f>
        <v>2</v>
      </c>
    </row>
    <row r="29" spans="1:9" ht="16" customHeight="1">
      <c r="A29" s="107" t="s">
        <v>60</v>
      </c>
      <c r="B29" s="15">
        <f t="shared" si="0"/>
        <v>100</v>
      </c>
      <c r="C29" s="15">
        <f t="shared" si="1"/>
        <v>12</v>
      </c>
      <c r="D29" s="15">
        <f t="shared" si="2"/>
        <v>12</v>
      </c>
      <c r="E29" s="16">
        <f>'1.1'!F75</f>
        <v>4</v>
      </c>
      <c r="F29" s="13">
        <f>'1.2'!C75</f>
        <v>2</v>
      </c>
      <c r="G29" s="13">
        <f>'1.3'!C75</f>
        <v>2</v>
      </c>
      <c r="H29" s="13">
        <f>'1.4'!E76</f>
        <v>2</v>
      </c>
      <c r="I29" s="13">
        <f>'1.5'!E76</f>
        <v>2</v>
      </c>
    </row>
    <row r="30" spans="1:9" ht="16" customHeight="1">
      <c r="A30" s="107" t="s">
        <v>65</v>
      </c>
      <c r="B30" s="15">
        <f t="shared" si="0"/>
        <v>100</v>
      </c>
      <c r="C30" s="15">
        <f t="shared" si="1"/>
        <v>12</v>
      </c>
      <c r="D30" s="15">
        <f t="shared" si="2"/>
        <v>12</v>
      </c>
      <c r="E30" s="16">
        <f>'1.1'!F79</f>
        <v>4</v>
      </c>
      <c r="F30" s="13">
        <f>'1.2'!C79</f>
        <v>2</v>
      </c>
      <c r="G30" s="13">
        <f>'1.3'!C79</f>
        <v>2</v>
      </c>
      <c r="H30" s="13">
        <f>'1.4'!E80</f>
        <v>2</v>
      </c>
      <c r="I30" s="13">
        <f>'1.5'!E80</f>
        <v>2</v>
      </c>
    </row>
    <row r="31" spans="1:9" ht="16" customHeight="1">
      <c r="A31" s="107" t="s">
        <v>69</v>
      </c>
      <c r="B31" s="15">
        <f t="shared" si="0"/>
        <v>100</v>
      </c>
      <c r="C31" s="15">
        <f t="shared" si="1"/>
        <v>12</v>
      </c>
      <c r="D31" s="15">
        <f t="shared" si="2"/>
        <v>12</v>
      </c>
      <c r="E31" s="16">
        <f>'1.1'!F82</f>
        <v>4</v>
      </c>
      <c r="F31" s="13">
        <f>'1.2'!C82</f>
        <v>2</v>
      </c>
      <c r="G31" s="13">
        <f>'1.3'!C82</f>
        <v>2</v>
      </c>
      <c r="H31" s="13">
        <f>'1.4'!E83</f>
        <v>2</v>
      </c>
      <c r="I31" s="13">
        <f>'1.5'!E83</f>
        <v>2</v>
      </c>
    </row>
    <row r="32" spans="1:9" ht="16" customHeight="1">
      <c r="A32" s="107" t="s">
        <v>552</v>
      </c>
      <c r="B32" s="15">
        <f t="shared" si="0"/>
        <v>100</v>
      </c>
      <c r="C32" s="15">
        <f t="shared" si="1"/>
        <v>12</v>
      </c>
      <c r="D32" s="15">
        <f t="shared" si="2"/>
        <v>12</v>
      </c>
      <c r="E32" s="16">
        <f>'1.1'!F83</f>
        <v>4</v>
      </c>
      <c r="F32" s="13">
        <f>'1.2'!C83</f>
        <v>2</v>
      </c>
      <c r="G32" s="13">
        <f>'1.3'!C83</f>
        <v>2</v>
      </c>
      <c r="H32" s="13">
        <f>'1.4'!E84</f>
        <v>2</v>
      </c>
      <c r="I32" s="13">
        <f>'1.5'!E84</f>
        <v>2</v>
      </c>
    </row>
    <row r="33" spans="1:9" s="7" customFormat="1" ht="16" customHeight="1">
      <c r="A33" s="107" t="s">
        <v>553</v>
      </c>
      <c r="B33" s="15">
        <f t="shared" si="0"/>
        <v>100</v>
      </c>
      <c r="C33" s="15">
        <f t="shared" si="1"/>
        <v>12</v>
      </c>
      <c r="D33" s="15">
        <f t="shared" si="2"/>
        <v>12</v>
      </c>
      <c r="E33" s="16">
        <f>'1.1'!F92</f>
        <v>4</v>
      </c>
      <c r="F33" s="13">
        <f>'1.2'!C92</f>
        <v>2</v>
      </c>
      <c r="G33" s="13">
        <f>'1.3'!C92</f>
        <v>2</v>
      </c>
      <c r="H33" s="13">
        <f>'1.4'!E93</f>
        <v>2</v>
      </c>
      <c r="I33" s="13">
        <f>'1.5'!E93</f>
        <v>2</v>
      </c>
    </row>
    <row r="34" spans="1:9" s="7" customFormat="1" ht="16" customHeight="1">
      <c r="A34" s="107" t="s">
        <v>79</v>
      </c>
      <c r="B34" s="15">
        <f t="shared" si="0"/>
        <v>100</v>
      </c>
      <c r="C34" s="15">
        <f t="shared" si="1"/>
        <v>12</v>
      </c>
      <c r="D34" s="15">
        <f t="shared" si="2"/>
        <v>12</v>
      </c>
      <c r="E34" s="16">
        <f>'1.1'!F96</f>
        <v>4</v>
      </c>
      <c r="F34" s="13">
        <f>'1.2'!C96</f>
        <v>2</v>
      </c>
      <c r="G34" s="13">
        <f>'1.3'!C96</f>
        <v>2</v>
      </c>
      <c r="H34" s="13">
        <f>'1.4'!E97</f>
        <v>2</v>
      </c>
      <c r="I34" s="13">
        <f>'1.5'!E97</f>
        <v>2</v>
      </c>
    </row>
    <row r="35" spans="1:9" ht="16" customHeight="1">
      <c r="A35" s="107" t="s">
        <v>9</v>
      </c>
      <c r="B35" s="15">
        <f t="shared" si="0"/>
        <v>91.7</v>
      </c>
      <c r="C35" s="15">
        <f t="shared" si="1"/>
        <v>12</v>
      </c>
      <c r="D35" s="15">
        <f t="shared" si="2"/>
        <v>11</v>
      </c>
      <c r="E35" s="16">
        <f>'1.1'!F15</f>
        <v>4</v>
      </c>
      <c r="F35" s="13">
        <f>'1.2'!C15</f>
        <v>2</v>
      </c>
      <c r="G35" s="13">
        <f>'1.3'!C15</f>
        <v>2</v>
      </c>
      <c r="H35" s="13">
        <f>'1.4'!E16</f>
        <v>1</v>
      </c>
      <c r="I35" s="13">
        <f>'1.5'!E16</f>
        <v>2</v>
      </c>
    </row>
    <row r="36" spans="1:9" ht="16" customHeight="1">
      <c r="A36" s="107" t="s">
        <v>15</v>
      </c>
      <c r="B36" s="15">
        <f t="shared" si="0"/>
        <v>91.7</v>
      </c>
      <c r="C36" s="15">
        <f t="shared" si="1"/>
        <v>12</v>
      </c>
      <c r="D36" s="15">
        <f t="shared" si="2"/>
        <v>11</v>
      </c>
      <c r="E36" s="16">
        <f>'1.1'!F21</f>
        <v>4</v>
      </c>
      <c r="F36" s="13">
        <f>'1.2'!C21</f>
        <v>2</v>
      </c>
      <c r="G36" s="13">
        <f>'1.3'!C21</f>
        <v>2</v>
      </c>
      <c r="H36" s="13">
        <f>'1.4'!E22</f>
        <v>2</v>
      </c>
      <c r="I36" s="13">
        <f>'1.5'!E22</f>
        <v>1</v>
      </c>
    </row>
    <row r="37" spans="1:9" ht="16" customHeight="1">
      <c r="A37" s="107" t="s">
        <v>25</v>
      </c>
      <c r="B37" s="15">
        <f t="shared" si="0"/>
        <v>91.7</v>
      </c>
      <c r="C37" s="15">
        <f t="shared" si="1"/>
        <v>12</v>
      </c>
      <c r="D37" s="15">
        <f t="shared" si="2"/>
        <v>11</v>
      </c>
      <c r="E37" s="16">
        <f>'1.1'!F32</f>
        <v>4</v>
      </c>
      <c r="F37" s="13">
        <f>'1.2'!C32</f>
        <v>2</v>
      </c>
      <c r="G37" s="13">
        <f>'1.3'!C32</f>
        <v>2</v>
      </c>
      <c r="H37" s="13">
        <f>'1.4'!E33</f>
        <v>2</v>
      </c>
      <c r="I37" s="13">
        <f>'1.5'!E33</f>
        <v>1</v>
      </c>
    </row>
    <row r="38" spans="1:9" ht="16" customHeight="1">
      <c r="A38" s="107" t="s">
        <v>28</v>
      </c>
      <c r="B38" s="15">
        <f t="shared" si="0"/>
        <v>91.7</v>
      </c>
      <c r="C38" s="15">
        <f t="shared" si="1"/>
        <v>12</v>
      </c>
      <c r="D38" s="15">
        <f t="shared" si="2"/>
        <v>11</v>
      </c>
      <c r="E38" s="16">
        <f>'1.1'!F36</f>
        <v>4</v>
      </c>
      <c r="F38" s="13">
        <f>'1.2'!C36</f>
        <v>2</v>
      </c>
      <c r="G38" s="13">
        <f>'1.3'!C36</f>
        <v>2</v>
      </c>
      <c r="H38" s="13">
        <f>'1.4'!E37</f>
        <v>1</v>
      </c>
      <c r="I38" s="13">
        <f>'1.5'!E37</f>
        <v>2</v>
      </c>
    </row>
    <row r="39" spans="1:9" ht="16" customHeight="1">
      <c r="A39" s="107" t="s">
        <v>39</v>
      </c>
      <c r="B39" s="15">
        <f t="shared" ref="B39:B59" si="3">ROUND(D39/C39*100,1)</f>
        <v>91.7</v>
      </c>
      <c r="C39" s="15">
        <f t="shared" si="1"/>
        <v>12</v>
      </c>
      <c r="D39" s="15">
        <f t="shared" ref="D39:D59" si="4">SUM(E39:I39)</f>
        <v>11</v>
      </c>
      <c r="E39" s="16">
        <f>'1.1'!F49</f>
        <v>4</v>
      </c>
      <c r="F39" s="13">
        <f>'1.2'!C49</f>
        <v>2</v>
      </c>
      <c r="G39" s="13">
        <f>'1.3'!C49</f>
        <v>2</v>
      </c>
      <c r="H39" s="13">
        <f>'1.4'!E50</f>
        <v>2</v>
      </c>
      <c r="I39" s="13">
        <f>'1.5'!E50</f>
        <v>1</v>
      </c>
    </row>
    <row r="40" spans="1:9" ht="16" customHeight="1">
      <c r="A40" s="107" t="s">
        <v>548</v>
      </c>
      <c r="B40" s="15">
        <f t="shared" si="3"/>
        <v>91.7</v>
      </c>
      <c r="C40" s="15">
        <f t="shared" si="1"/>
        <v>12</v>
      </c>
      <c r="D40" s="15">
        <f t="shared" si="4"/>
        <v>11</v>
      </c>
      <c r="E40" s="16">
        <f>'1.1'!F56</f>
        <v>4</v>
      </c>
      <c r="F40" s="13">
        <f>'1.2'!C56</f>
        <v>2</v>
      </c>
      <c r="G40" s="13">
        <f>'1.3'!C56</f>
        <v>2</v>
      </c>
      <c r="H40" s="13">
        <f>'1.4'!E57</f>
        <v>1</v>
      </c>
      <c r="I40" s="13">
        <f>'1.5'!E57</f>
        <v>2</v>
      </c>
    </row>
    <row r="41" spans="1:9" ht="16" customHeight="1">
      <c r="A41" s="107" t="s">
        <v>550</v>
      </c>
      <c r="B41" s="15">
        <f t="shared" si="3"/>
        <v>91.7</v>
      </c>
      <c r="C41" s="15">
        <f t="shared" si="1"/>
        <v>12</v>
      </c>
      <c r="D41" s="15">
        <f t="shared" si="4"/>
        <v>11</v>
      </c>
      <c r="E41" s="16">
        <f>'1.1'!F63</f>
        <v>4</v>
      </c>
      <c r="F41" s="13">
        <f>'1.2'!C63</f>
        <v>2</v>
      </c>
      <c r="G41" s="13">
        <f>'1.3'!C63</f>
        <v>2</v>
      </c>
      <c r="H41" s="13">
        <f>'1.4'!E64</f>
        <v>1</v>
      </c>
      <c r="I41" s="13">
        <f>'1.5'!E64</f>
        <v>2</v>
      </c>
    </row>
    <row r="42" spans="1:9" s="7" customFormat="1" ht="16" customHeight="1">
      <c r="A42" s="107" t="s">
        <v>58</v>
      </c>
      <c r="B42" s="15">
        <f t="shared" si="3"/>
        <v>91.7</v>
      </c>
      <c r="C42" s="15">
        <f t="shared" si="1"/>
        <v>12</v>
      </c>
      <c r="D42" s="15">
        <f t="shared" si="4"/>
        <v>11</v>
      </c>
      <c r="E42" s="16">
        <f>'1.1'!F72</f>
        <v>4</v>
      </c>
      <c r="F42" s="13">
        <f>'1.2'!C72</f>
        <v>2</v>
      </c>
      <c r="G42" s="13">
        <f>'1.3'!C72</f>
        <v>2</v>
      </c>
      <c r="H42" s="13">
        <f>'1.4'!E73</f>
        <v>1</v>
      </c>
      <c r="I42" s="13">
        <f>'1.5'!E73</f>
        <v>2</v>
      </c>
    </row>
    <row r="43" spans="1:9" ht="16" customHeight="1">
      <c r="A43" s="107" t="s">
        <v>62</v>
      </c>
      <c r="B43" s="15">
        <f t="shared" si="3"/>
        <v>91.7</v>
      </c>
      <c r="C43" s="15">
        <f t="shared" si="1"/>
        <v>12</v>
      </c>
      <c r="D43" s="15">
        <f t="shared" si="4"/>
        <v>11</v>
      </c>
      <c r="E43" s="16">
        <f>'1.1'!F77</f>
        <v>4</v>
      </c>
      <c r="F43" s="13">
        <f>'1.2'!C77</f>
        <v>2</v>
      </c>
      <c r="G43" s="13">
        <f>'1.3'!C77</f>
        <v>2</v>
      </c>
      <c r="H43" s="13">
        <f>'1.4'!E78</f>
        <v>1</v>
      </c>
      <c r="I43" s="13">
        <f>'1.5'!E78</f>
        <v>2</v>
      </c>
    </row>
    <row r="44" spans="1:9" ht="16" customHeight="1">
      <c r="A44" s="107" t="s">
        <v>63</v>
      </c>
      <c r="B44" s="15">
        <f t="shared" si="3"/>
        <v>91.7</v>
      </c>
      <c r="C44" s="15">
        <f t="shared" si="1"/>
        <v>12</v>
      </c>
      <c r="D44" s="15">
        <f t="shared" si="4"/>
        <v>11</v>
      </c>
      <c r="E44" s="16">
        <f>'1.1'!F88</f>
        <v>4</v>
      </c>
      <c r="F44" s="13">
        <f>'1.2'!C88</f>
        <v>2</v>
      </c>
      <c r="G44" s="13">
        <f>'1.3'!C88</f>
        <v>2</v>
      </c>
      <c r="H44" s="13">
        <f>'1.4'!E89</f>
        <v>1</v>
      </c>
      <c r="I44" s="13">
        <f>'1.5'!E89</f>
        <v>2</v>
      </c>
    </row>
    <row r="45" spans="1:9" ht="16" customHeight="1">
      <c r="A45" s="107" t="s">
        <v>75</v>
      </c>
      <c r="B45" s="15">
        <f t="shared" si="3"/>
        <v>91.7</v>
      </c>
      <c r="C45" s="15">
        <f t="shared" si="1"/>
        <v>12</v>
      </c>
      <c r="D45" s="15">
        <f t="shared" si="4"/>
        <v>11</v>
      </c>
      <c r="E45" s="16">
        <f>'1.1'!F91</f>
        <v>4</v>
      </c>
      <c r="F45" s="13">
        <f>'1.2'!C91</f>
        <v>2</v>
      </c>
      <c r="G45" s="13">
        <f>'1.3'!C91</f>
        <v>2</v>
      </c>
      <c r="H45" s="13">
        <f>'1.4'!E92</f>
        <v>1</v>
      </c>
      <c r="I45" s="13">
        <f>'1.5'!E92</f>
        <v>2</v>
      </c>
    </row>
    <row r="46" spans="1:9" ht="16" customHeight="1">
      <c r="A46" s="107" t="s">
        <v>77</v>
      </c>
      <c r="B46" s="15">
        <f t="shared" si="3"/>
        <v>91.7</v>
      </c>
      <c r="C46" s="15">
        <f t="shared" si="1"/>
        <v>12</v>
      </c>
      <c r="D46" s="15">
        <f t="shared" si="4"/>
        <v>11</v>
      </c>
      <c r="E46" s="16">
        <f>'1.1'!F94</f>
        <v>4</v>
      </c>
      <c r="F46" s="13">
        <f>'1.2'!C94</f>
        <v>2</v>
      </c>
      <c r="G46" s="13">
        <f>'1.3'!C94</f>
        <v>2</v>
      </c>
      <c r="H46" s="13">
        <f>'1.4'!E95</f>
        <v>1</v>
      </c>
      <c r="I46" s="13">
        <f>'1.5'!E95</f>
        <v>2</v>
      </c>
    </row>
    <row r="47" spans="1:9" ht="16" customHeight="1">
      <c r="A47" s="107" t="s">
        <v>546</v>
      </c>
      <c r="B47" s="15">
        <f t="shared" si="3"/>
        <v>90</v>
      </c>
      <c r="C47" s="15">
        <f>$D$5-I17</f>
        <v>10</v>
      </c>
      <c r="D47" s="15">
        <f t="shared" si="4"/>
        <v>9</v>
      </c>
      <c r="E47" s="16">
        <f>'1.1'!F35</f>
        <v>4</v>
      </c>
      <c r="F47" s="13">
        <f>'1.2'!C35</f>
        <v>2</v>
      </c>
      <c r="G47" s="13">
        <f>'1.3'!C35</f>
        <v>2</v>
      </c>
      <c r="H47" s="13">
        <f>'1.4'!E36</f>
        <v>1</v>
      </c>
      <c r="I47" s="13" t="str">
        <f>'1.5'!E36</f>
        <v>- *</v>
      </c>
    </row>
    <row r="48" spans="1:9" ht="16" customHeight="1">
      <c r="A48" s="107" t="s">
        <v>33</v>
      </c>
      <c r="B48" s="15">
        <f t="shared" si="3"/>
        <v>87.5</v>
      </c>
      <c r="C48" s="15">
        <f t="shared" ref="C48:C59" si="5">$D$5</f>
        <v>12</v>
      </c>
      <c r="D48" s="15">
        <f t="shared" si="4"/>
        <v>10.5</v>
      </c>
      <c r="E48" s="16">
        <f>'1.1'!F42</f>
        <v>4</v>
      </c>
      <c r="F48" s="13">
        <f>'1.2'!C42</f>
        <v>2</v>
      </c>
      <c r="G48" s="13">
        <f>'1.3'!C42</f>
        <v>2</v>
      </c>
      <c r="H48" s="13">
        <f>'1.4'!E43</f>
        <v>0.5</v>
      </c>
      <c r="I48" s="13">
        <f>'1.5'!E43</f>
        <v>2</v>
      </c>
    </row>
    <row r="49" spans="1:9" ht="16" customHeight="1">
      <c r="A49" s="107" t="s">
        <v>1</v>
      </c>
      <c r="B49" s="15">
        <f t="shared" si="3"/>
        <v>83.3</v>
      </c>
      <c r="C49" s="15">
        <f t="shared" si="5"/>
        <v>12</v>
      </c>
      <c r="D49" s="15">
        <f t="shared" si="4"/>
        <v>10</v>
      </c>
      <c r="E49" s="16">
        <f>'1.1'!F7</f>
        <v>4</v>
      </c>
      <c r="F49" s="13">
        <f>'1.2'!C7</f>
        <v>2</v>
      </c>
      <c r="G49" s="13">
        <f>'1.3'!C7</f>
        <v>2</v>
      </c>
      <c r="H49" s="13">
        <f>'1.4'!E8</f>
        <v>1</v>
      </c>
      <c r="I49" s="13">
        <f>'1.5'!E8</f>
        <v>1</v>
      </c>
    </row>
    <row r="50" spans="1:9" ht="16" customHeight="1">
      <c r="A50" s="107" t="s">
        <v>13</v>
      </c>
      <c r="B50" s="15">
        <f t="shared" si="3"/>
        <v>83.3</v>
      </c>
      <c r="C50" s="15">
        <f t="shared" si="5"/>
        <v>12</v>
      </c>
      <c r="D50" s="15">
        <f t="shared" si="4"/>
        <v>10</v>
      </c>
      <c r="E50" s="16">
        <f>'1.1'!F19</f>
        <v>2</v>
      </c>
      <c r="F50" s="13">
        <f>'1.2'!C19</f>
        <v>2</v>
      </c>
      <c r="G50" s="13">
        <f>'1.3'!C19</f>
        <v>2</v>
      </c>
      <c r="H50" s="13">
        <f>'1.4'!E20</f>
        <v>2</v>
      </c>
      <c r="I50" s="13">
        <f>'1.5'!E20</f>
        <v>2</v>
      </c>
    </row>
    <row r="51" spans="1:9" ht="16" customHeight="1">
      <c r="A51" s="107" t="s">
        <v>16</v>
      </c>
      <c r="B51" s="15">
        <f t="shared" si="3"/>
        <v>83.3</v>
      </c>
      <c r="C51" s="15">
        <f t="shared" si="5"/>
        <v>12</v>
      </c>
      <c r="D51" s="15">
        <f t="shared" si="4"/>
        <v>10</v>
      </c>
      <c r="E51" s="16">
        <f>'1.1'!F22</f>
        <v>4</v>
      </c>
      <c r="F51" s="13">
        <f>'1.2'!C22</f>
        <v>2</v>
      </c>
      <c r="G51" s="13">
        <f>'1.3'!C22</f>
        <v>2</v>
      </c>
      <c r="H51" s="13">
        <f>'1.4'!E23</f>
        <v>1</v>
      </c>
      <c r="I51" s="13">
        <f>'1.5'!E23</f>
        <v>1</v>
      </c>
    </row>
    <row r="52" spans="1:9" ht="16" customHeight="1">
      <c r="A52" s="107" t="s">
        <v>24</v>
      </c>
      <c r="B52" s="15">
        <f t="shared" si="3"/>
        <v>83.3</v>
      </c>
      <c r="C52" s="15">
        <f t="shared" si="5"/>
        <v>12</v>
      </c>
      <c r="D52" s="15">
        <f t="shared" si="4"/>
        <v>10</v>
      </c>
      <c r="E52" s="16">
        <f>'1.1'!F31</f>
        <v>4</v>
      </c>
      <c r="F52" s="13">
        <f>'1.2'!C31</f>
        <v>2</v>
      </c>
      <c r="G52" s="13">
        <f>'1.3'!C31</f>
        <v>2</v>
      </c>
      <c r="H52" s="13">
        <f>'1.4'!E32</f>
        <v>2</v>
      </c>
      <c r="I52" s="13">
        <f>'1.5'!E32</f>
        <v>0</v>
      </c>
    </row>
    <row r="53" spans="1:9" ht="16" customHeight="1">
      <c r="A53" s="107" t="s">
        <v>30</v>
      </c>
      <c r="B53" s="246">
        <f t="shared" si="3"/>
        <v>83.3</v>
      </c>
      <c r="C53" s="246">
        <f t="shared" si="5"/>
        <v>12</v>
      </c>
      <c r="D53" s="246">
        <f t="shared" si="4"/>
        <v>10</v>
      </c>
      <c r="E53" s="16">
        <f>'1.1'!F38</f>
        <v>4</v>
      </c>
      <c r="F53" s="13">
        <f>'1.2'!C38</f>
        <v>2</v>
      </c>
      <c r="G53" s="13">
        <f>'1.3'!C38</f>
        <v>2</v>
      </c>
      <c r="H53" s="13">
        <f>'1.4'!E39</f>
        <v>0</v>
      </c>
      <c r="I53" s="245">
        <f>'1.5'!E39</f>
        <v>2</v>
      </c>
    </row>
    <row r="54" spans="1:9" ht="16" customHeight="1">
      <c r="A54" s="107" t="s">
        <v>34</v>
      </c>
      <c r="B54" s="15">
        <f t="shared" si="3"/>
        <v>83.3</v>
      </c>
      <c r="C54" s="15">
        <f t="shared" si="5"/>
        <v>12</v>
      </c>
      <c r="D54" s="15">
        <f t="shared" si="4"/>
        <v>10</v>
      </c>
      <c r="E54" s="16">
        <f>'1.1'!F43</f>
        <v>4</v>
      </c>
      <c r="F54" s="13">
        <f>'1.2'!C43</f>
        <v>2</v>
      </c>
      <c r="G54" s="13">
        <f>'1.3'!C43</f>
        <v>2</v>
      </c>
      <c r="H54" s="13">
        <f>'1.4'!E44</f>
        <v>0</v>
      </c>
      <c r="I54" s="13">
        <f>'1.5'!E44</f>
        <v>2</v>
      </c>
    </row>
    <row r="55" spans="1:9" ht="16" customHeight="1">
      <c r="A55" s="107" t="s">
        <v>54</v>
      </c>
      <c r="B55" s="15">
        <f t="shared" si="3"/>
        <v>83.3</v>
      </c>
      <c r="C55" s="15">
        <f t="shared" si="5"/>
        <v>12</v>
      </c>
      <c r="D55" s="15">
        <f t="shared" si="4"/>
        <v>10</v>
      </c>
      <c r="E55" s="16">
        <f>'1.1'!F68</f>
        <v>4</v>
      </c>
      <c r="F55" s="13">
        <f>'1.2'!C68</f>
        <v>0</v>
      </c>
      <c r="G55" s="13">
        <f>'1.3'!C68</f>
        <v>2</v>
      </c>
      <c r="H55" s="13">
        <f>'1.4'!E69</f>
        <v>2</v>
      </c>
      <c r="I55" s="13">
        <f>'1.5'!E69</f>
        <v>2</v>
      </c>
    </row>
    <row r="56" spans="1:9" ht="16" customHeight="1">
      <c r="A56" s="107" t="s">
        <v>71</v>
      </c>
      <c r="B56" s="15">
        <f t="shared" si="3"/>
        <v>83.3</v>
      </c>
      <c r="C56" s="15">
        <f t="shared" si="5"/>
        <v>12</v>
      </c>
      <c r="D56" s="15">
        <f t="shared" si="4"/>
        <v>10</v>
      </c>
      <c r="E56" s="16">
        <f>'1.1'!F85</f>
        <v>4</v>
      </c>
      <c r="F56" s="13">
        <f>'1.2'!C85</f>
        <v>2</v>
      </c>
      <c r="G56" s="13">
        <f>'1.3'!C85</f>
        <v>2</v>
      </c>
      <c r="H56" s="13">
        <f>'1.4'!E86</f>
        <v>2</v>
      </c>
      <c r="I56" s="13">
        <f>'1.5'!E86</f>
        <v>0</v>
      </c>
    </row>
    <row r="57" spans="1:9" s="7" customFormat="1" ht="16" customHeight="1">
      <c r="A57" s="107" t="s">
        <v>76</v>
      </c>
      <c r="B57" s="15">
        <f t="shared" si="3"/>
        <v>83.3</v>
      </c>
      <c r="C57" s="15">
        <f t="shared" si="5"/>
        <v>12</v>
      </c>
      <c r="D57" s="15">
        <f t="shared" si="4"/>
        <v>10</v>
      </c>
      <c r="E57" s="16">
        <f>'1.1'!F93</f>
        <v>4</v>
      </c>
      <c r="F57" s="13">
        <f>'1.2'!C93</f>
        <v>2</v>
      </c>
      <c r="G57" s="13">
        <f>'1.3'!C93</f>
        <v>2</v>
      </c>
      <c r="H57" s="13">
        <f>'1.4'!E94</f>
        <v>2</v>
      </c>
      <c r="I57" s="13">
        <f>'1.5'!E94</f>
        <v>0</v>
      </c>
    </row>
    <row r="58" spans="1:9" ht="16" customHeight="1">
      <c r="A58" s="107" t="s">
        <v>80</v>
      </c>
      <c r="B58" s="15">
        <f t="shared" si="3"/>
        <v>83.3</v>
      </c>
      <c r="C58" s="15">
        <f t="shared" si="5"/>
        <v>12</v>
      </c>
      <c r="D58" s="15">
        <f t="shared" si="4"/>
        <v>10</v>
      </c>
      <c r="E58" s="16">
        <f>'1.1'!F97</f>
        <v>2</v>
      </c>
      <c r="F58" s="13">
        <f>'1.2'!C97</f>
        <v>2</v>
      </c>
      <c r="G58" s="13">
        <f>'1.3'!C97</f>
        <v>2</v>
      </c>
      <c r="H58" s="13">
        <f>'1.4'!E98</f>
        <v>2</v>
      </c>
      <c r="I58" s="13">
        <f>'1.5'!E98</f>
        <v>2</v>
      </c>
    </row>
    <row r="59" spans="1:9" ht="16" customHeight="1">
      <c r="A59" s="107" t="s">
        <v>81</v>
      </c>
      <c r="B59" s="15">
        <f t="shared" si="3"/>
        <v>83.3</v>
      </c>
      <c r="C59" s="15">
        <f t="shared" si="5"/>
        <v>12</v>
      </c>
      <c r="D59" s="15">
        <f t="shared" si="4"/>
        <v>10</v>
      </c>
      <c r="E59" s="16">
        <f>'1.1'!F98</f>
        <v>2</v>
      </c>
      <c r="F59" s="13">
        <f>'1.2'!C98</f>
        <v>2</v>
      </c>
      <c r="G59" s="13">
        <f>'1.3'!C98</f>
        <v>2</v>
      </c>
      <c r="H59" s="13">
        <f>'1.4'!E99</f>
        <v>2</v>
      </c>
      <c r="I59" s="13">
        <f>'1.5'!E99</f>
        <v>2</v>
      </c>
    </row>
    <row r="60" spans="1:9" ht="16" customHeight="1">
      <c r="A60" s="101" t="s">
        <v>192</v>
      </c>
      <c r="B60" s="15"/>
      <c r="C60" s="15"/>
      <c r="D60" s="15"/>
      <c r="E60" s="16"/>
      <c r="F60" s="13"/>
      <c r="G60" s="13"/>
      <c r="H60" s="13"/>
      <c r="I60" s="13"/>
    </row>
    <row r="61" spans="1:9" ht="16" customHeight="1">
      <c r="A61" s="107" t="s">
        <v>14</v>
      </c>
      <c r="B61" s="15">
        <f t="shared" ref="B61:B78" si="6">ROUND(D61/C61*100,1)</f>
        <v>75</v>
      </c>
      <c r="C61" s="15">
        <f t="shared" ref="C61:C69" si="7">$D$5</f>
        <v>12</v>
      </c>
      <c r="D61" s="15">
        <f t="shared" ref="D61:D78" si="8">SUM(E61:I61)</f>
        <v>9</v>
      </c>
      <c r="E61" s="16">
        <f>'1.1'!F20</f>
        <v>2</v>
      </c>
      <c r="F61" s="13">
        <f>'1.2'!C20</f>
        <v>2</v>
      </c>
      <c r="G61" s="13">
        <f>'1.3'!C20</f>
        <v>2</v>
      </c>
      <c r="H61" s="13">
        <f>'1.4'!E21</f>
        <v>1</v>
      </c>
      <c r="I61" s="13">
        <f>'1.5'!E21</f>
        <v>2</v>
      </c>
    </row>
    <row r="62" spans="1:9" ht="16" customHeight="1">
      <c r="A62" s="107" t="s">
        <v>26</v>
      </c>
      <c r="B62" s="15">
        <f t="shared" si="6"/>
        <v>75</v>
      </c>
      <c r="C62" s="15">
        <f t="shared" si="7"/>
        <v>12</v>
      </c>
      <c r="D62" s="15">
        <f t="shared" si="8"/>
        <v>9</v>
      </c>
      <c r="E62" s="16">
        <f>'1.1'!F33</f>
        <v>4</v>
      </c>
      <c r="F62" s="13">
        <f>'1.2'!C33</f>
        <v>0</v>
      </c>
      <c r="G62" s="13">
        <f>'1.3'!C33</f>
        <v>2</v>
      </c>
      <c r="H62" s="13">
        <f>'1.4'!E34</f>
        <v>1</v>
      </c>
      <c r="I62" s="13">
        <f>'1.5'!E34</f>
        <v>2</v>
      </c>
    </row>
    <row r="63" spans="1:9" ht="16" customHeight="1">
      <c r="A63" s="107" t="s">
        <v>27</v>
      </c>
      <c r="B63" s="15">
        <f t="shared" si="6"/>
        <v>75</v>
      </c>
      <c r="C63" s="15">
        <f t="shared" si="7"/>
        <v>12</v>
      </c>
      <c r="D63" s="15">
        <f t="shared" si="8"/>
        <v>9</v>
      </c>
      <c r="E63" s="16">
        <f>'1.1'!F34</f>
        <v>1</v>
      </c>
      <c r="F63" s="13">
        <f>'1.2'!C34</f>
        <v>2</v>
      </c>
      <c r="G63" s="13">
        <f>'1.3'!C34</f>
        <v>2</v>
      </c>
      <c r="H63" s="13">
        <f>'1.4'!E35</f>
        <v>2</v>
      </c>
      <c r="I63" s="13">
        <f>'1.5'!E35</f>
        <v>2</v>
      </c>
    </row>
    <row r="64" spans="1:9" ht="16" customHeight="1">
      <c r="A64" s="107" t="s">
        <v>47</v>
      </c>
      <c r="B64" s="15">
        <f t="shared" si="6"/>
        <v>75</v>
      </c>
      <c r="C64" s="15">
        <f t="shared" si="7"/>
        <v>12</v>
      </c>
      <c r="D64" s="15">
        <f t="shared" si="8"/>
        <v>9</v>
      </c>
      <c r="E64" s="16">
        <f>'1.1'!F59</f>
        <v>4</v>
      </c>
      <c r="F64" s="13">
        <f>'1.2'!C59</f>
        <v>2</v>
      </c>
      <c r="G64" s="13">
        <f>'1.3'!C59</f>
        <v>2</v>
      </c>
      <c r="H64" s="13">
        <f>'1.4'!E60</f>
        <v>0</v>
      </c>
      <c r="I64" s="13">
        <f>'1.5'!E60</f>
        <v>1</v>
      </c>
    </row>
    <row r="65" spans="1:9" ht="16" customHeight="1">
      <c r="A65" s="107" t="s">
        <v>68</v>
      </c>
      <c r="B65" s="15">
        <f t="shared" si="6"/>
        <v>75</v>
      </c>
      <c r="C65" s="15">
        <f t="shared" si="7"/>
        <v>12</v>
      </c>
      <c r="D65" s="15">
        <f t="shared" si="8"/>
        <v>9</v>
      </c>
      <c r="E65" s="16">
        <f>'1.1'!F81</f>
        <v>4</v>
      </c>
      <c r="F65" s="13">
        <f>'1.2'!C81</f>
        <v>2</v>
      </c>
      <c r="G65" s="13">
        <f>'1.3'!C81</f>
        <v>2</v>
      </c>
      <c r="H65" s="13">
        <f>'1.4'!E82</f>
        <v>1</v>
      </c>
      <c r="I65" s="13">
        <f>'1.5'!E82</f>
        <v>0</v>
      </c>
    </row>
    <row r="66" spans="1:9" ht="16" customHeight="1">
      <c r="A66" s="107" t="s">
        <v>70</v>
      </c>
      <c r="B66" s="15">
        <f t="shared" si="6"/>
        <v>75</v>
      </c>
      <c r="C66" s="15">
        <f t="shared" si="7"/>
        <v>12</v>
      </c>
      <c r="D66" s="15">
        <f t="shared" si="8"/>
        <v>9</v>
      </c>
      <c r="E66" s="16">
        <f>'1.1'!F84</f>
        <v>4</v>
      </c>
      <c r="F66" s="13">
        <f>'1.2'!C84</f>
        <v>0</v>
      </c>
      <c r="G66" s="13">
        <f>'1.3'!C84</f>
        <v>2</v>
      </c>
      <c r="H66" s="13">
        <f>'1.4'!E85</f>
        <v>1</v>
      </c>
      <c r="I66" s="13">
        <f>'1.5'!E85</f>
        <v>2</v>
      </c>
    </row>
    <row r="67" spans="1:9" ht="16" customHeight="1">
      <c r="A67" s="107" t="s">
        <v>72</v>
      </c>
      <c r="B67" s="15">
        <f t="shared" si="6"/>
        <v>75</v>
      </c>
      <c r="C67" s="15">
        <f t="shared" si="7"/>
        <v>12</v>
      </c>
      <c r="D67" s="15">
        <f t="shared" si="8"/>
        <v>9</v>
      </c>
      <c r="E67" s="16">
        <f>'1.1'!F86</f>
        <v>4</v>
      </c>
      <c r="F67" s="13">
        <f>'1.2'!C86</f>
        <v>0</v>
      </c>
      <c r="G67" s="13">
        <f>'1.3'!C86</f>
        <v>2</v>
      </c>
      <c r="H67" s="13">
        <f>'1.4'!E87</f>
        <v>1</v>
      </c>
      <c r="I67" s="13">
        <f>'1.5'!E87</f>
        <v>2</v>
      </c>
    </row>
    <row r="68" spans="1:9" ht="16" customHeight="1">
      <c r="A68" s="107" t="s">
        <v>67</v>
      </c>
      <c r="B68" s="15">
        <f t="shared" si="6"/>
        <v>75</v>
      </c>
      <c r="C68" s="15">
        <f t="shared" si="7"/>
        <v>12</v>
      </c>
      <c r="D68" s="15">
        <f t="shared" si="8"/>
        <v>9</v>
      </c>
      <c r="E68" s="16">
        <f>'1.1'!F90</f>
        <v>4</v>
      </c>
      <c r="F68" s="13">
        <f>'1.2'!C90</f>
        <v>0</v>
      </c>
      <c r="G68" s="13">
        <f>'1.3'!C90</f>
        <v>2</v>
      </c>
      <c r="H68" s="13">
        <f>'1.4'!E91</f>
        <v>2</v>
      </c>
      <c r="I68" s="13">
        <f>'1.5'!E91</f>
        <v>1</v>
      </c>
    </row>
    <row r="69" spans="1:9" ht="16" customHeight="1">
      <c r="A69" s="107" t="s">
        <v>78</v>
      </c>
      <c r="B69" s="15">
        <f t="shared" si="6"/>
        <v>75</v>
      </c>
      <c r="C69" s="15">
        <f t="shared" si="7"/>
        <v>12</v>
      </c>
      <c r="D69" s="15">
        <f t="shared" si="8"/>
        <v>9</v>
      </c>
      <c r="E69" s="16">
        <f>'1.1'!F95</f>
        <v>4</v>
      </c>
      <c r="F69" s="13">
        <f>'1.2'!C95</f>
        <v>2</v>
      </c>
      <c r="G69" s="13">
        <f>'1.3'!C95</f>
        <v>2</v>
      </c>
      <c r="H69" s="13">
        <f>'1.4'!E96</f>
        <v>1</v>
      </c>
      <c r="I69" s="13">
        <f>'1.5'!E96</f>
        <v>0</v>
      </c>
    </row>
    <row r="70" spans="1:9" ht="16" customHeight="1">
      <c r="A70" s="107" t="s">
        <v>222</v>
      </c>
      <c r="B70" s="15">
        <f t="shared" si="6"/>
        <v>70</v>
      </c>
      <c r="C70" s="15">
        <f>$D$5-$I$5</f>
        <v>10</v>
      </c>
      <c r="D70" s="15">
        <f t="shared" si="8"/>
        <v>7</v>
      </c>
      <c r="E70" s="16">
        <f>'1.1'!F45</f>
        <v>4</v>
      </c>
      <c r="F70" s="13">
        <f>'1.2'!C45</f>
        <v>0</v>
      </c>
      <c r="G70" s="13">
        <f>'1.3'!C45</f>
        <v>2</v>
      </c>
      <c r="H70" s="13">
        <f>'1.4'!E46</f>
        <v>1</v>
      </c>
      <c r="I70" s="13" t="str">
        <f>'1.5'!E46</f>
        <v>- *</v>
      </c>
    </row>
    <row r="71" spans="1:9" ht="16" customHeight="1">
      <c r="A71" s="107" t="s">
        <v>12</v>
      </c>
      <c r="B71" s="15">
        <f t="shared" si="6"/>
        <v>66.7</v>
      </c>
      <c r="C71" s="15">
        <f t="shared" ref="C71:C78" si="9">$D$5</f>
        <v>12</v>
      </c>
      <c r="D71" s="15">
        <f t="shared" si="8"/>
        <v>8</v>
      </c>
      <c r="E71" s="16">
        <f>'1.1'!F18</f>
        <v>4</v>
      </c>
      <c r="F71" s="13">
        <f>'1.2'!C18</f>
        <v>2</v>
      </c>
      <c r="G71" s="13">
        <f>'1.3'!C18</f>
        <v>2</v>
      </c>
      <c r="H71" s="13">
        <f>'1.4'!E19</f>
        <v>0</v>
      </c>
      <c r="I71" s="13">
        <f>'1.5'!E19</f>
        <v>0</v>
      </c>
    </row>
    <row r="72" spans="1:9" ht="16" customHeight="1">
      <c r="A72" s="107" t="s">
        <v>17</v>
      </c>
      <c r="B72" s="15">
        <f t="shared" si="6"/>
        <v>66.7</v>
      </c>
      <c r="C72" s="15">
        <f t="shared" si="9"/>
        <v>12</v>
      </c>
      <c r="D72" s="15">
        <f t="shared" si="8"/>
        <v>8</v>
      </c>
      <c r="E72" s="16">
        <f>'1.1'!F23</f>
        <v>4</v>
      </c>
      <c r="F72" s="13">
        <f>'1.2'!C23</f>
        <v>2</v>
      </c>
      <c r="G72" s="13">
        <f>'1.3'!C23</f>
        <v>0</v>
      </c>
      <c r="H72" s="13">
        <f>'1.4'!E24</f>
        <v>0</v>
      </c>
      <c r="I72" s="13">
        <f>'1.5'!E24</f>
        <v>2</v>
      </c>
    </row>
    <row r="73" spans="1:9" ht="16" customHeight="1">
      <c r="A73" s="107" t="s">
        <v>20</v>
      </c>
      <c r="B73" s="15">
        <f t="shared" si="6"/>
        <v>66.7</v>
      </c>
      <c r="C73" s="15">
        <f t="shared" si="9"/>
        <v>12</v>
      </c>
      <c r="D73" s="15">
        <f t="shared" si="8"/>
        <v>8</v>
      </c>
      <c r="E73" s="16">
        <f>'1.1'!F27</f>
        <v>4</v>
      </c>
      <c r="F73" s="13">
        <f>'1.2'!C27</f>
        <v>0</v>
      </c>
      <c r="G73" s="13">
        <f>'1.3'!C27</f>
        <v>0</v>
      </c>
      <c r="H73" s="13">
        <f>'1.4'!E28</f>
        <v>2</v>
      </c>
      <c r="I73" s="13">
        <f>'1.5'!E28</f>
        <v>2</v>
      </c>
    </row>
    <row r="74" spans="1:9" ht="16" customHeight="1">
      <c r="A74" s="107" t="s">
        <v>40</v>
      </c>
      <c r="B74" s="15">
        <f t="shared" si="6"/>
        <v>66.7</v>
      </c>
      <c r="C74" s="15">
        <f t="shared" si="9"/>
        <v>12</v>
      </c>
      <c r="D74" s="15">
        <f t="shared" si="8"/>
        <v>8</v>
      </c>
      <c r="E74" s="16">
        <f>'1.1'!F50</f>
        <v>4</v>
      </c>
      <c r="F74" s="13">
        <f>'1.2'!C50</f>
        <v>2</v>
      </c>
      <c r="G74" s="13">
        <f>'1.3'!C50</f>
        <v>2</v>
      </c>
      <c r="H74" s="13">
        <f>'1.4'!E51</f>
        <v>0</v>
      </c>
      <c r="I74" s="13">
        <f>'1.5'!E51</f>
        <v>0</v>
      </c>
    </row>
    <row r="75" spans="1:9" ht="16" customHeight="1">
      <c r="A75" s="107" t="s">
        <v>46</v>
      </c>
      <c r="B75" s="15">
        <f t="shared" si="6"/>
        <v>66.7</v>
      </c>
      <c r="C75" s="15">
        <f t="shared" si="9"/>
        <v>12</v>
      </c>
      <c r="D75" s="15">
        <f t="shared" si="8"/>
        <v>8</v>
      </c>
      <c r="E75" s="16">
        <f>'1.1'!F58</f>
        <v>4</v>
      </c>
      <c r="F75" s="13">
        <f>'1.2'!C58</f>
        <v>2</v>
      </c>
      <c r="G75" s="13">
        <f>'1.3'!C58</f>
        <v>2</v>
      </c>
      <c r="H75" s="13">
        <f>'1.4'!E59</f>
        <v>0</v>
      </c>
      <c r="I75" s="13">
        <f>'1.5'!E59</f>
        <v>0</v>
      </c>
    </row>
    <row r="76" spans="1:9" ht="16" customHeight="1">
      <c r="A76" s="107" t="s">
        <v>51</v>
      </c>
      <c r="B76" s="15">
        <f t="shared" si="6"/>
        <v>66.7</v>
      </c>
      <c r="C76" s="15">
        <f t="shared" si="9"/>
        <v>12</v>
      </c>
      <c r="D76" s="15">
        <f t="shared" si="8"/>
        <v>8</v>
      </c>
      <c r="E76" s="16">
        <f>'1.1'!F65</f>
        <v>2</v>
      </c>
      <c r="F76" s="13">
        <f>'1.2'!C65</f>
        <v>2</v>
      </c>
      <c r="G76" s="13">
        <f>'1.3'!C65</f>
        <v>2</v>
      </c>
      <c r="H76" s="13">
        <f>'1.4'!E66</f>
        <v>0</v>
      </c>
      <c r="I76" s="13">
        <f>'1.5'!E66</f>
        <v>2</v>
      </c>
    </row>
    <row r="77" spans="1:9" ht="16" customHeight="1">
      <c r="A77" s="107" t="s">
        <v>57</v>
      </c>
      <c r="B77" s="15">
        <f t="shared" si="6"/>
        <v>66.7</v>
      </c>
      <c r="C77" s="15">
        <f t="shared" si="9"/>
        <v>12</v>
      </c>
      <c r="D77" s="15">
        <f t="shared" si="8"/>
        <v>8</v>
      </c>
      <c r="E77" s="16">
        <f>'1.1'!F71</f>
        <v>4</v>
      </c>
      <c r="F77" s="13">
        <f>'1.2'!C71</f>
        <v>2</v>
      </c>
      <c r="G77" s="13">
        <f>'1.3'!C71</f>
        <v>2</v>
      </c>
      <c r="H77" s="13">
        <f>'1.4'!E72</f>
        <v>0</v>
      </c>
      <c r="I77" s="13">
        <f>'1.5'!E72</f>
        <v>0</v>
      </c>
    </row>
    <row r="78" spans="1:9" ht="16" customHeight="1">
      <c r="A78" s="107" t="s">
        <v>74</v>
      </c>
      <c r="B78" s="15">
        <f t="shared" si="6"/>
        <v>66.7</v>
      </c>
      <c r="C78" s="15">
        <f t="shared" si="9"/>
        <v>12</v>
      </c>
      <c r="D78" s="15">
        <f t="shared" si="8"/>
        <v>8</v>
      </c>
      <c r="E78" s="16">
        <f>'1.1'!F89</f>
        <v>4</v>
      </c>
      <c r="F78" s="13">
        <f>'1.2'!C89</f>
        <v>2</v>
      </c>
      <c r="G78" s="13">
        <f>'1.3'!C89</f>
        <v>2</v>
      </c>
      <c r="H78" s="13">
        <f>'1.4'!E90</f>
        <v>0</v>
      </c>
      <c r="I78" s="13">
        <f>'1.5'!E90</f>
        <v>0</v>
      </c>
    </row>
    <row r="79" spans="1:9" ht="16" customHeight="1">
      <c r="A79" s="101" t="s">
        <v>193</v>
      </c>
      <c r="B79" s="15"/>
      <c r="C79" s="15"/>
      <c r="D79" s="15"/>
      <c r="E79" s="16"/>
      <c r="F79" s="13"/>
      <c r="G79" s="13"/>
      <c r="H79" s="13"/>
      <c r="I79" s="13"/>
    </row>
    <row r="80" spans="1:9" ht="16" customHeight="1">
      <c r="A80" s="107" t="s">
        <v>11</v>
      </c>
      <c r="B80" s="15">
        <f t="shared" ref="B80:B88" si="10">ROUND(D80/C80*100,1)</f>
        <v>58.3</v>
      </c>
      <c r="C80" s="15">
        <f>$D$5</f>
        <v>12</v>
      </c>
      <c r="D80" s="15">
        <f t="shared" ref="D80:D88" si="11">SUM(E80:I80)</f>
        <v>7</v>
      </c>
      <c r="E80" s="16">
        <f>'1.1'!F17</f>
        <v>4</v>
      </c>
      <c r="F80" s="13">
        <f>'1.2'!C17</f>
        <v>0</v>
      </c>
      <c r="G80" s="13">
        <f>'1.3'!C17</f>
        <v>2</v>
      </c>
      <c r="H80" s="13">
        <f>'1.4'!E18</f>
        <v>0</v>
      </c>
      <c r="I80" s="13">
        <f>'1.5'!E18</f>
        <v>1</v>
      </c>
    </row>
    <row r="81" spans="1:9" ht="16" customHeight="1">
      <c r="A81" s="107" t="s">
        <v>66</v>
      </c>
      <c r="B81" s="15">
        <f t="shared" si="10"/>
        <v>58.3</v>
      </c>
      <c r="C81" s="15">
        <f>$D$5</f>
        <v>12</v>
      </c>
      <c r="D81" s="15">
        <f t="shared" si="11"/>
        <v>7</v>
      </c>
      <c r="E81" s="16">
        <f>'1.1'!F80</f>
        <v>4</v>
      </c>
      <c r="F81" s="13">
        <f>'1.2'!C80</f>
        <v>0</v>
      </c>
      <c r="G81" s="13">
        <f>'1.3'!C80</f>
        <v>2</v>
      </c>
      <c r="H81" s="13">
        <f>'1.4'!E81</f>
        <v>0</v>
      </c>
      <c r="I81" s="13">
        <f>'1.5'!E81</f>
        <v>1</v>
      </c>
    </row>
    <row r="82" spans="1:9" ht="16" customHeight="1">
      <c r="A82" s="107" t="s">
        <v>7</v>
      </c>
      <c r="B82" s="15">
        <f t="shared" si="10"/>
        <v>54.2</v>
      </c>
      <c r="C82" s="15">
        <f>$D$5</f>
        <v>12</v>
      </c>
      <c r="D82" s="15">
        <f t="shared" si="11"/>
        <v>6.5</v>
      </c>
      <c r="E82" s="16">
        <f>'1.1'!F13</f>
        <v>0</v>
      </c>
      <c r="F82" s="13">
        <f>'1.2'!C13</f>
        <v>2</v>
      </c>
      <c r="G82" s="13">
        <f>'1.3'!C13</f>
        <v>2</v>
      </c>
      <c r="H82" s="13">
        <f>'1.4'!E14</f>
        <v>0.5</v>
      </c>
      <c r="I82" s="13">
        <f>'1.5'!E14</f>
        <v>2</v>
      </c>
    </row>
    <row r="83" spans="1:9" ht="16" customHeight="1">
      <c r="A83" s="107" t="s">
        <v>545</v>
      </c>
      <c r="B83" s="15">
        <f t="shared" si="10"/>
        <v>50</v>
      </c>
      <c r="C83" s="15">
        <f>$D$5-I63</f>
        <v>10</v>
      </c>
      <c r="D83" s="15">
        <f t="shared" si="11"/>
        <v>5</v>
      </c>
      <c r="E83" s="16">
        <f>'1.1'!F24</f>
        <v>4</v>
      </c>
      <c r="F83" s="13">
        <f>'1.2'!C24</f>
        <v>0</v>
      </c>
      <c r="G83" s="13">
        <f>'1.3'!C24</f>
        <v>0</v>
      </c>
      <c r="H83" s="13">
        <f>'1.4'!E25</f>
        <v>1</v>
      </c>
      <c r="I83" s="13" t="str">
        <f>'1.5'!E25</f>
        <v>- *</v>
      </c>
    </row>
    <row r="84" spans="1:9" ht="16" customHeight="1">
      <c r="A84" s="107" t="s">
        <v>23</v>
      </c>
      <c r="B84" s="15">
        <f t="shared" si="10"/>
        <v>50</v>
      </c>
      <c r="C84" s="15">
        <f>$D$5</f>
        <v>12</v>
      </c>
      <c r="D84" s="15">
        <f t="shared" si="11"/>
        <v>6</v>
      </c>
      <c r="E84" s="16">
        <f>'1.1'!F30</f>
        <v>4</v>
      </c>
      <c r="F84" s="13">
        <f>'1.2'!C30</f>
        <v>2</v>
      </c>
      <c r="G84" s="13">
        <f>'1.3'!C30</f>
        <v>0</v>
      </c>
      <c r="H84" s="13">
        <f>'1.4'!E31</f>
        <v>0</v>
      </c>
      <c r="I84" s="13">
        <f>'1.5'!E31</f>
        <v>0</v>
      </c>
    </row>
    <row r="85" spans="1:9" ht="16" customHeight="1">
      <c r="A85" s="107" t="s">
        <v>37</v>
      </c>
      <c r="B85" s="15">
        <f t="shared" si="10"/>
        <v>50</v>
      </c>
      <c r="C85" s="15">
        <f>$D$5</f>
        <v>12</v>
      </c>
      <c r="D85" s="15">
        <f t="shared" si="11"/>
        <v>6</v>
      </c>
      <c r="E85" s="16">
        <f>'1.1'!F47</f>
        <v>2</v>
      </c>
      <c r="F85" s="13">
        <f>'1.2'!C47</f>
        <v>2</v>
      </c>
      <c r="G85" s="13">
        <f>'1.3'!C47</f>
        <v>2</v>
      </c>
      <c r="H85" s="13">
        <f>'1.4'!E48</f>
        <v>0</v>
      </c>
      <c r="I85" s="13">
        <f>'1.5'!E48</f>
        <v>0</v>
      </c>
    </row>
    <row r="86" spans="1:9" ht="16" customHeight="1">
      <c r="A86" s="107" t="s">
        <v>547</v>
      </c>
      <c r="B86" s="15">
        <f t="shared" si="10"/>
        <v>50</v>
      </c>
      <c r="C86" s="15">
        <f>$D$5</f>
        <v>12</v>
      </c>
      <c r="D86" s="15">
        <f t="shared" si="11"/>
        <v>6</v>
      </c>
      <c r="E86" s="16">
        <f>'1.1'!F51</f>
        <v>4</v>
      </c>
      <c r="F86" s="13">
        <f>'1.2'!C51</f>
        <v>0</v>
      </c>
      <c r="G86" s="13">
        <f>'1.3'!C51</f>
        <v>2</v>
      </c>
      <c r="H86" s="13">
        <f>'1.4'!E52</f>
        <v>0</v>
      </c>
      <c r="I86" s="13">
        <f>'1.5'!E52</f>
        <v>0</v>
      </c>
    </row>
    <row r="87" spans="1:9" ht="16" customHeight="1">
      <c r="A87" s="107" t="s">
        <v>56</v>
      </c>
      <c r="B87" s="15">
        <f t="shared" si="10"/>
        <v>50</v>
      </c>
      <c r="C87" s="15">
        <f>$D$5</f>
        <v>12</v>
      </c>
      <c r="D87" s="15">
        <f t="shared" si="11"/>
        <v>6</v>
      </c>
      <c r="E87" s="16">
        <f>'1.1'!F70</f>
        <v>2</v>
      </c>
      <c r="F87" s="13">
        <f>'1.2'!C70</f>
        <v>0</v>
      </c>
      <c r="G87" s="13">
        <f>'1.3'!C70</f>
        <v>2</v>
      </c>
      <c r="H87" s="13">
        <f>'1.4'!E71</f>
        <v>0</v>
      </c>
      <c r="I87" s="13">
        <f>'1.5'!E71</f>
        <v>2</v>
      </c>
    </row>
    <row r="88" spans="1:9" ht="16" customHeight="1">
      <c r="A88" s="107" t="s">
        <v>64</v>
      </c>
      <c r="B88" s="15">
        <f t="shared" si="10"/>
        <v>50</v>
      </c>
      <c r="C88" s="15">
        <f>$D$5</f>
        <v>12</v>
      </c>
      <c r="D88" s="15">
        <f t="shared" si="11"/>
        <v>6</v>
      </c>
      <c r="E88" s="16">
        <f>'1.1'!F78</f>
        <v>2</v>
      </c>
      <c r="F88" s="13">
        <f>'1.2'!C78</f>
        <v>2</v>
      </c>
      <c r="G88" s="13">
        <f>'1.3'!C78</f>
        <v>2</v>
      </c>
      <c r="H88" s="13">
        <f>'1.4'!E79</f>
        <v>0</v>
      </c>
      <c r="I88" s="13">
        <f>'1.5'!E79</f>
        <v>0</v>
      </c>
    </row>
    <row r="89" spans="1:9" ht="16" customHeight="1">
      <c r="A89" s="101" t="s">
        <v>194</v>
      </c>
      <c r="B89" s="15"/>
      <c r="C89" s="15"/>
      <c r="D89" s="15"/>
      <c r="E89" s="16"/>
      <c r="F89" s="13"/>
      <c r="G89" s="13"/>
      <c r="H89" s="13"/>
      <c r="I89" s="13"/>
    </row>
    <row r="90" spans="1:9" ht="16" customHeight="1">
      <c r="A90" s="107" t="s">
        <v>38</v>
      </c>
      <c r="B90" s="15">
        <f>ROUND(D90/C90*100,1)</f>
        <v>37.5</v>
      </c>
      <c r="C90" s="15">
        <f>$D$5</f>
        <v>12</v>
      </c>
      <c r="D90" s="15">
        <f>SUM(E90:I90)</f>
        <v>4.5</v>
      </c>
      <c r="E90" s="16">
        <f>'1.1'!F48</f>
        <v>0</v>
      </c>
      <c r="F90" s="13">
        <f>'1.2'!C48</f>
        <v>2</v>
      </c>
      <c r="G90" s="13">
        <f>'1.3'!C48</f>
        <v>2</v>
      </c>
      <c r="H90" s="13">
        <f>'1.4'!E49</f>
        <v>0</v>
      </c>
      <c r="I90" s="13">
        <f>'1.5'!E49</f>
        <v>0.5</v>
      </c>
    </row>
    <row r="91" spans="1:9" ht="16" customHeight="1">
      <c r="A91" s="107" t="s">
        <v>41</v>
      </c>
      <c r="B91" s="15">
        <f>ROUND(D91/C91*100,1)</f>
        <v>33.299999999999997</v>
      </c>
      <c r="C91" s="15">
        <f>$D$5</f>
        <v>12</v>
      </c>
      <c r="D91" s="15">
        <f>SUM(E91:I91)</f>
        <v>4</v>
      </c>
      <c r="E91" s="16">
        <f>'1.1'!F52</f>
        <v>0</v>
      </c>
      <c r="F91" s="13">
        <f>'1.2'!C52</f>
        <v>2</v>
      </c>
      <c r="G91" s="13">
        <f>'1.3'!C52</f>
        <v>2</v>
      </c>
      <c r="H91" s="13">
        <f>'1.4'!E53</f>
        <v>0</v>
      </c>
      <c r="I91" s="13">
        <f>'1.5'!E53</f>
        <v>0</v>
      </c>
    </row>
    <row r="92" spans="1:9" ht="16" customHeight="1">
      <c r="A92" s="107" t="s">
        <v>45</v>
      </c>
      <c r="B92" s="15">
        <f>ROUND(D92/C92*100,1)</f>
        <v>33.299999999999997</v>
      </c>
      <c r="C92" s="15">
        <f>$D$5</f>
        <v>12</v>
      </c>
      <c r="D92" s="15">
        <f>SUM(E92:I92)</f>
        <v>4</v>
      </c>
      <c r="E92" s="16">
        <f>'1.1'!F57</f>
        <v>2</v>
      </c>
      <c r="F92" s="13">
        <f>'1.2'!C57</f>
        <v>0</v>
      </c>
      <c r="G92" s="13">
        <f>'1.3'!C57</f>
        <v>2</v>
      </c>
      <c r="H92" s="13">
        <f>'1.4'!E58</f>
        <v>0</v>
      </c>
      <c r="I92" s="13">
        <f>'1.5'!E58</f>
        <v>0</v>
      </c>
    </row>
    <row r="93" spans="1:9" ht="16" customHeight="1">
      <c r="A93" s="107" t="s">
        <v>52</v>
      </c>
      <c r="B93" s="15">
        <f>ROUND(D93/C93*100,1)</f>
        <v>33.299999999999997</v>
      </c>
      <c r="C93" s="15">
        <f>$D$5</f>
        <v>12</v>
      </c>
      <c r="D93" s="15">
        <f>SUM(E93:I93)</f>
        <v>4</v>
      </c>
      <c r="E93" s="16">
        <f>'1.1'!F66</f>
        <v>4</v>
      </c>
      <c r="F93" s="13">
        <f>'1.2'!C66</f>
        <v>0</v>
      </c>
      <c r="G93" s="13">
        <f>'1.3'!C66</f>
        <v>0</v>
      </c>
      <c r="H93" s="13">
        <f>'1.4'!E67</f>
        <v>0</v>
      </c>
      <c r="I93" s="13">
        <f>'1.5'!E67</f>
        <v>0</v>
      </c>
    </row>
    <row r="94" spans="1:9" ht="16" customHeight="1">
      <c r="A94" s="107" t="s">
        <v>48</v>
      </c>
      <c r="B94" s="15">
        <f>ROUND(D94/C94*100,1)</f>
        <v>25</v>
      </c>
      <c r="C94" s="15">
        <f>$D$5</f>
        <v>12</v>
      </c>
      <c r="D94" s="15">
        <f>SUM(E94:I94)</f>
        <v>3</v>
      </c>
      <c r="E94" s="16">
        <f>'1.1'!F61</f>
        <v>2</v>
      </c>
      <c r="F94" s="13">
        <f>'1.2'!C61</f>
        <v>0</v>
      </c>
      <c r="G94" s="13">
        <f>'1.3'!C61</f>
        <v>0</v>
      </c>
      <c r="H94" s="13">
        <f>'1.4'!E62</f>
        <v>0</v>
      </c>
      <c r="I94" s="13">
        <f>'1.5'!E62</f>
        <v>1</v>
      </c>
    </row>
    <row r="95" spans="1:9">
      <c r="A95" s="29" t="s">
        <v>671</v>
      </c>
      <c r="D95" s="27"/>
    </row>
  </sheetData>
  <sortState xmlns:xlrd2="http://schemas.microsoft.com/office/spreadsheetml/2017/richdata2" ref="A7:I94">
    <sortCondition descending="1" ref="B7:B94"/>
  </sortState>
  <pageMargins left="0.70866141732283505" right="0.70866141732283505" top="0.74803149606299202" bottom="0.74803149606299202" header="0.31496062992126" footer="0.31496062992126"/>
  <pageSetup paperSize="9" scale="75" fitToHeight="0" orientation="landscape" r:id="rId1"/>
  <headerFooter scaleWithDoc="0">
    <oddFooter>&amp;C&amp;"Times New Roman,обычный"&amp;A&amp;R&amp;P</oddFooter>
  </headerFooter>
  <ignoredErrors>
    <ignoredError sqref="C83 C7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9"/>
  <sheetViews>
    <sheetView tabSelected="1" zoomScaleNormal="100" zoomScalePageLayoutView="80" workbookViewId="0">
      <pane ySplit="4" topLeftCell="A5" activePane="bottomLeft" state="frozen"/>
      <selection activeCell="G33" sqref="G33:G2385"/>
      <selection pane="bottomLeft"/>
    </sheetView>
  </sheetViews>
  <sheetFormatPr baseColWidth="10" defaultColWidth="8.83203125" defaultRowHeight="15"/>
  <cols>
    <col min="1" max="1" width="24.83203125" customWidth="1"/>
    <col min="2" max="3" width="12.83203125" customWidth="1"/>
    <col min="4" max="4" width="11.5" customWidth="1"/>
    <col min="5" max="5" width="20.83203125" customWidth="1"/>
    <col min="6" max="6" width="18.83203125" customWidth="1"/>
    <col min="7" max="7" width="20.83203125" customWidth="1"/>
    <col min="8" max="8" width="25.83203125" customWidth="1"/>
    <col min="9" max="9" width="28.83203125" customWidth="1"/>
  </cols>
  <sheetData>
    <row r="1" spans="1:9" ht="30" customHeight="1">
      <c r="A1" s="36" t="s">
        <v>435</v>
      </c>
      <c r="B1" s="37"/>
      <c r="C1" s="37"/>
      <c r="D1" s="37"/>
      <c r="E1" s="37"/>
      <c r="F1" s="37"/>
      <c r="G1" s="37"/>
      <c r="H1" s="37"/>
      <c r="I1" s="37"/>
    </row>
    <row r="2" spans="1:9" ht="16" customHeight="1">
      <c r="A2" s="38" t="s">
        <v>666</v>
      </c>
      <c r="B2" s="39"/>
      <c r="C2" s="39"/>
      <c r="D2" s="39"/>
      <c r="E2" s="39"/>
      <c r="F2" s="39"/>
      <c r="G2" s="39"/>
      <c r="H2" s="39"/>
      <c r="I2" s="39"/>
    </row>
    <row r="3" spans="1:9" ht="128" customHeight="1">
      <c r="A3" s="102" t="s">
        <v>659</v>
      </c>
      <c r="B3" s="103" t="s">
        <v>105</v>
      </c>
      <c r="C3" s="103" t="s">
        <v>103</v>
      </c>
      <c r="D3" s="103" t="s">
        <v>102</v>
      </c>
      <c r="E3" s="106" t="s">
        <v>430</v>
      </c>
      <c r="F3" s="106" t="s">
        <v>431</v>
      </c>
      <c r="G3" s="106" t="s">
        <v>432</v>
      </c>
      <c r="H3" s="106" t="s">
        <v>433</v>
      </c>
      <c r="I3" s="102" t="s">
        <v>434</v>
      </c>
    </row>
    <row r="4" spans="1:9" ht="16" customHeight="1">
      <c r="A4" s="34" t="s">
        <v>82</v>
      </c>
      <c r="B4" s="11" t="s">
        <v>104</v>
      </c>
      <c r="C4" s="11" t="s">
        <v>83</v>
      </c>
      <c r="D4" s="11" t="s">
        <v>83</v>
      </c>
      <c r="E4" s="10" t="s">
        <v>83</v>
      </c>
      <c r="F4" s="12" t="s">
        <v>83</v>
      </c>
      <c r="G4" s="12" t="s">
        <v>83</v>
      </c>
      <c r="H4" s="12" t="s">
        <v>83</v>
      </c>
      <c r="I4" s="12" t="s">
        <v>83</v>
      </c>
    </row>
    <row r="5" spans="1:9" s="9" customFormat="1" ht="15" customHeight="1">
      <c r="A5" s="35" t="s">
        <v>103</v>
      </c>
      <c r="B5" s="17"/>
      <c r="C5" s="17"/>
      <c r="D5" s="18">
        <f>SUM(E5:I5)</f>
        <v>12</v>
      </c>
      <c r="E5" s="19">
        <v>4</v>
      </c>
      <c r="F5" s="20">
        <v>2</v>
      </c>
      <c r="G5" s="20">
        <v>2</v>
      </c>
      <c r="H5" s="20">
        <v>2</v>
      </c>
      <c r="I5" s="20">
        <v>2</v>
      </c>
    </row>
    <row r="6" spans="1:9" ht="16" customHeight="1">
      <c r="A6" s="21" t="s">
        <v>0</v>
      </c>
      <c r="B6" s="21"/>
      <c r="C6" s="21"/>
      <c r="D6" s="22"/>
      <c r="E6" s="22"/>
      <c r="F6" s="23"/>
      <c r="G6" s="23"/>
      <c r="H6" s="23"/>
      <c r="I6" s="23"/>
    </row>
    <row r="7" spans="1:9" ht="16" customHeight="1">
      <c r="A7" s="107" t="s">
        <v>1</v>
      </c>
      <c r="B7" s="15">
        <f>ROUND(D7/C7*100,1)</f>
        <v>83.3</v>
      </c>
      <c r="C7" s="15">
        <f>$D$5</f>
        <v>12</v>
      </c>
      <c r="D7" s="15">
        <f>SUM(E7:I7)</f>
        <v>10</v>
      </c>
      <c r="E7" s="16">
        <f>'1.1'!F7</f>
        <v>4</v>
      </c>
      <c r="F7" s="13">
        <f>'1.2'!C7</f>
        <v>2</v>
      </c>
      <c r="G7" s="13">
        <f>'1.3'!C7</f>
        <v>2</v>
      </c>
      <c r="H7" s="13">
        <f>'1.4'!E8</f>
        <v>1</v>
      </c>
      <c r="I7" s="13">
        <f>'1.5'!E8</f>
        <v>1</v>
      </c>
    </row>
    <row r="8" spans="1:9" ht="16" customHeight="1">
      <c r="A8" s="107" t="s">
        <v>2</v>
      </c>
      <c r="B8" s="15">
        <f t="shared" ref="B8:B71" si="0">ROUND(D8/C8*100,1)</f>
        <v>100</v>
      </c>
      <c r="C8" s="15">
        <f>$D$5</f>
        <v>12</v>
      </c>
      <c r="D8" s="15">
        <f>SUM(E8:I8)</f>
        <v>12</v>
      </c>
      <c r="E8" s="16">
        <f>'1.1'!F8</f>
        <v>4</v>
      </c>
      <c r="F8" s="13">
        <f>'1.2'!C8</f>
        <v>2</v>
      </c>
      <c r="G8" s="13">
        <f>'1.3'!C8</f>
        <v>2</v>
      </c>
      <c r="H8" s="13">
        <f>'1.4'!E9</f>
        <v>2</v>
      </c>
      <c r="I8" s="13">
        <f>'1.5'!E9</f>
        <v>2</v>
      </c>
    </row>
    <row r="9" spans="1:9" ht="16" customHeight="1">
      <c r="A9" s="107" t="s">
        <v>3</v>
      </c>
      <c r="B9" s="15">
        <f t="shared" si="0"/>
        <v>100</v>
      </c>
      <c r="C9" s="15">
        <f t="shared" ref="C9:C72" si="1">$D$5</f>
        <v>12</v>
      </c>
      <c r="D9" s="15">
        <f t="shared" ref="D9:D24" si="2">SUM(E9:I9)</f>
        <v>12</v>
      </c>
      <c r="E9" s="16">
        <f>'1.1'!F9</f>
        <v>4</v>
      </c>
      <c r="F9" s="13">
        <f>'1.2'!C9</f>
        <v>2</v>
      </c>
      <c r="G9" s="13">
        <f>'1.3'!C9</f>
        <v>2</v>
      </c>
      <c r="H9" s="13">
        <f>'1.4'!E10</f>
        <v>2</v>
      </c>
      <c r="I9" s="13">
        <f>'1.5'!E10</f>
        <v>2</v>
      </c>
    </row>
    <row r="10" spans="1:9" ht="16" customHeight="1">
      <c r="A10" s="107" t="s">
        <v>4</v>
      </c>
      <c r="B10" s="15">
        <f t="shared" si="0"/>
        <v>100</v>
      </c>
      <c r="C10" s="15">
        <f t="shared" si="1"/>
        <v>12</v>
      </c>
      <c r="D10" s="15">
        <f t="shared" si="2"/>
        <v>12</v>
      </c>
      <c r="E10" s="16">
        <f>'1.1'!F10</f>
        <v>4</v>
      </c>
      <c r="F10" s="13">
        <f>'1.2'!C10</f>
        <v>2</v>
      </c>
      <c r="G10" s="13">
        <f>'1.3'!C10</f>
        <v>2</v>
      </c>
      <c r="H10" s="13">
        <f>'1.4'!E11</f>
        <v>2</v>
      </c>
      <c r="I10" s="13">
        <f>'1.5'!E11</f>
        <v>2</v>
      </c>
    </row>
    <row r="11" spans="1:9" ht="16" customHeight="1">
      <c r="A11" s="107" t="s">
        <v>5</v>
      </c>
      <c r="B11" s="15">
        <f t="shared" si="0"/>
        <v>100</v>
      </c>
      <c r="C11" s="15">
        <f t="shared" si="1"/>
        <v>12</v>
      </c>
      <c r="D11" s="15">
        <f t="shared" si="2"/>
        <v>12</v>
      </c>
      <c r="E11" s="16">
        <f>'1.1'!F11</f>
        <v>4</v>
      </c>
      <c r="F11" s="13">
        <f>'1.2'!C11</f>
        <v>2</v>
      </c>
      <c r="G11" s="13">
        <f>'1.3'!C11</f>
        <v>2</v>
      </c>
      <c r="H11" s="13">
        <f>'1.4'!E12</f>
        <v>2</v>
      </c>
      <c r="I11" s="13">
        <f>'1.5'!E12</f>
        <v>2</v>
      </c>
    </row>
    <row r="12" spans="1:9" ht="16" customHeight="1">
      <c r="A12" s="107" t="s">
        <v>6</v>
      </c>
      <c r="B12" s="15">
        <f t="shared" si="0"/>
        <v>100</v>
      </c>
      <c r="C12" s="15">
        <f t="shared" si="1"/>
        <v>12</v>
      </c>
      <c r="D12" s="15">
        <f t="shared" si="2"/>
        <v>12</v>
      </c>
      <c r="E12" s="16">
        <f>'1.1'!F12</f>
        <v>4</v>
      </c>
      <c r="F12" s="13">
        <f>'1.2'!C12</f>
        <v>2</v>
      </c>
      <c r="G12" s="13">
        <f>'1.3'!C12</f>
        <v>2</v>
      </c>
      <c r="H12" s="13">
        <f>'1.4'!E13</f>
        <v>2</v>
      </c>
      <c r="I12" s="13">
        <f>'1.5'!E13</f>
        <v>2</v>
      </c>
    </row>
    <row r="13" spans="1:9" ht="16" customHeight="1">
      <c r="A13" s="107" t="s">
        <v>7</v>
      </c>
      <c r="B13" s="15">
        <f t="shared" si="0"/>
        <v>54.2</v>
      </c>
      <c r="C13" s="15">
        <f t="shared" si="1"/>
        <v>12</v>
      </c>
      <c r="D13" s="15">
        <f t="shared" si="2"/>
        <v>6.5</v>
      </c>
      <c r="E13" s="16">
        <f>'1.1'!F13</f>
        <v>0</v>
      </c>
      <c r="F13" s="13">
        <f>'1.2'!C13</f>
        <v>2</v>
      </c>
      <c r="G13" s="13">
        <f>'1.3'!C13</f>
        <v>2</v>
      </c>
      <c r="H13" s="13">
        <f>'1.4'!E14</f>
        <v>0.5</v>
      </c>
      <c r="I13" s="13">
        <f>'1.5'!E14</f>
        <v>2</v>
      </c>
    </row>
    <row r="14" spans="1:9" s="7" customFormat="1" ht="16" customHeight="1">
      <c r="A14" s="107" t="s">
        <v>8</v>
      </c>
      <c r="B14" s="15">
        <f t="shared" si="0"/>
        <v>100</v>
      </c>
      <c r="C14" s="15">
        <f t="shared" si="1"/>
        <v>12</v>
      </c>
      <c r="D14" s="15">
        <f t="shared" si="2"/>
        <v>12</v>
      </c>
      <c r="E14" s="16">
        <f>'1.1'!F14</f>
        <v>4</v>
      </c>
      <c r="F14" s="13">
        <f>'1.2'!C14</f>
        <v>2</v>
      </c>
      <c r="G14" s="13">
        <f>'1.3'!C14</f>
        <v>2</v>
      </c>
      <c r="H14" s="13">
        <f>'1.4'!E15</f>
        <v>2</v>
      </c>
      <c r="I14" s="13">
        <f>'1.5'!E15</f>
        <v>2</v>
      </c>
    </row>
    <row r="15" spans="1:9" ht="16" customHeight="1">
      <c r="A15" s="107" t="s">
        <v>9</v>
      </c>
      <c r="B15" s="15">
        <f t="shared" si="0"/>
        <v>91.7</v>
      </c>
      <c r="C15" s="15">
        <f t="shared" si="1"/>
        <v>12</v>
      </c>
      <c r="D15" s="15">
        <f t="shared" si="2"/>
        <v>11</v>
      </c>
      <c r="E15" s="16">
        <f>'1.1'!F15</f>
        <v>4</v>
      </c>
      <c r="F15" s="13">
        <f>'1.2'!C15</f>
        <v>2</v>
      </c>
      <c r="G15" s="13">
        <f>'1.3'!C15</f>
        <v>2</v>
      </c>
      <c r="H15" s="13">
        <f>'1.4'!E16</f>
        <v>1</v>
      </c>
      <c r="I15" s="13">
        <f>'1.5'!E16</f>
        <v>2</v>
      </c>
    </row>
    <row r="16" spans="1:9" ht="16" customHeight="1">
      <c r="A16" s="107" t="s">
        <v>10</v>
      </c>
      <c r="B16" s="15">
        <f t="shared" si="0"/>
        <v>100</v>
      </c>
      <c r="C16" s="15">
        <f t="shared" si="1"/>
        <v>12</v>
      </c>
      <c r="D16" s="15">
        <f t="shared" si="2"/>
        <v>12</v>
      </c>
      <c r="E16" s="16">
        <f>'1.1'!F16</f>
        <v>4</v>
      </c>
      <c r="F16" s="13">
        <f>'1.2'!C16</f>
        <v>2</v>
      </c>
      <c r="G16" s="13">
        <f>'1.3'!C16</f>
        <v>2</v>
      </c>
      <c r="H16" s="13">
        <f>'1.4'!E17</f>
        <v>2</v>
      </c>
      <c r="I16" s="13">
        <f>'1.5'!E17</f>
        <v>2</v>
      </c>
    </row>
    <row r="17" spans="1:9" ht="16" customHeight="1">
      <c r="A17" s="107" t="s">
        <v>11</v>
      </c>
      <c r="B17" s="15">
        <f t="shared" si="0"/>
        <v>58.3</v>
      </c>
      <c r="C17" s="15">
        <f t="shared" si="1"/>
        <v>12</v>
      </c>
      <c r="D17" s="15">
        <f t="shared" si="2"/>
        <v>7</v>
      </c>
      <c r="E17" s="16">
        <f>'1.1'!F17</f>
        <v>4</v>
      </c>
      <c r="F17" s="13">
        <f>'1.2'!C17</f>
        <v>0</v>
      </c>
      <c r="G17" s="13">
        <f>'1.3'!C17</f>
        <v>2</v>
      </c>
      <c r="H17" s="13">
        <f>'1.4'!E18</f>
        <v>0</v>
      </c>
      <c r="I17" s="13">
        <f>'1.5'!E18</f>
        <v>1</v>
      </c>
    </row>
    <row r="18" spans="1:9" s="7" customFormat="1" ht="16" customHeight="1">
      <c r="A18" s="107" t="s">
        <v>12</v>
      </c>
      <c r="B18" s="15">
        <f t="shared" si="0"/>
        <v>66.7</v>
      </c>
      <c r="C18" s="15">
        <f t="shared" si="1"/>
        <v>12</v>
      </c>
      <c r="D18" s="15">
        <f t="shared" si="2"/>
        <v>8</v>
      </c>
      <c r="E18" s="16">
        <f>'1.1'!F18</f>
        <v>4</v>
      </c>
      <c r="F18" s="13">
        <f>'1.2'!C18</f>
        <v>2</v>
      </c>
      <c r="G18" s="13">
        <f>'1.3'!C18</f>
        <v>2</v>
      </c>
      <c r="H18" s="13">
        <f>'1.4'!E19</f>
        <v>0</v>
      </c>
      <c r="I18" s="13">
        <f>'1.5'!E19</f>
        <v>0</v>
      </c>
    </row>
    <row r="19" spans="1:9" ht="16" customHeight="1">
      <c r="A19" s="107" t="s">
        <v>13</v>
      </c>
      <c r="B19" s="15">
        <f t="shared" si="0"/>
        <v>83.3</v>
      </c>
      <c r="C19" s="15">
        <f t="shared" si="1"/>
        <v>12</v>
      </c>
      <c r="D19" s="15">
        <f t="shared" si="2"/>
        <v>10</v>
      </c>
      <c r="E19" s="16">
        <f>'1.1'!F19</f>
        <v>2</v>
      </c>
      <c r="F19" s="13">
        <f>'1.2'!C19</f>
        <v>2</v>
      </c>
      <c r="G19" s="13">
        <f>'1.3'!C19</f>
        <v>2</v>
      </c>
      <c r="H19" s="13">
        <f>'1.4'!E20</f>
        <v>2</v>
      </c>
      <c r="I19" s="13">
        <f>'1.5'!E20</f>
        <v>2</v>
      </c>
    </row>
    <row r="20" spans="1:9" ht="16" customHeight="1">
      <c r="A20" s="107" t="s">
        <v>14</v>
      </c>
      <c r="B20" s="15">
        <f t="shared" si="0"/>
        <v>75</v>
      </c>
      <c r="C20" s="15">
        <f t="shared" si="1"/>
        <v>12</v>
      </c>
      <c r="D20" s="15">
        <f t="shared" si="2"/>
        <v>9</v>
      </c>
      <c r="E20" s="16">
        <f>'1.1'!F20</f>
        <v>2</v>
      </c>
      <c r="F20" s="13">
        <f>'1.2'!C20</f>
        <v>2</v>
      </c>
      <c r="G20" s="13">
        <f>'1.3'!C20</f>
        <v>2</v>
      </c>
      <c r="H20" s="13">
        <f>'1.4'!E21</f>
        <v>1</v>
      </c>
      <c r="I20" s="13">
        <f>'1.5'!E21</f>
        <v>2</v>
      </c>
    </row>
    <row r="21" spans="1:9" ht="16" customHeight="1">
      <c r="A21" s="107" t="s">
        <v>15</v>
      </c>
      <c r="B21" s="15">
        <f t="shared" si="0"/>
        <v>91.7</v>
      </c>
      <c r="C21" s="15">
        <f t="shared" si="1"/>
        <v>12</v>
      </c>
      <c r="D21" s="15">
        <f t="shared" si="2"/>
        <v>11</v>
      </c>
      <c r="E21" s="16">
        <f>'1.1'!F21</f>
        <v>4</v>
      </c>
      <c r="F21" s="13">
        <f>'1.2'!C21</f>
        <v>2</v>
      </c>
      <c r="G21" s="13">
        <f>'1.3'!C21</f>
        <v>2</v>
      </c>
      <c r="H21" s="13">
        <f>'1.4'!E22</f>
        <v>2</v>
      </c>
      <c r="I21" s="13">
        <f>'1.5'!E22</f>
        <v>1</v>
      </c>
    </row>
    <row r="22" spans="1:9" ht="16" customHeight="1">
      <c r="A22" s="107" t="s">
        <v>16</v>
      </c>
      <c r="B22" s="15">
        <f t="shared" si="0"/>
        <v>83.3</v>
      </c>
      <c r="C22" s="15">
        <f t="shared" si="1"/>
        <v>12</v>
      </c>
      <c r="D22" s="15">
        <f t="shared" si="2"/>
        <v>10</v>
      </c>
      <c r="E22" s="16">
        <f>'1.1'!F22</f>
        <v>4</v>
      </c>
      <c r="F22" s="13">
        <f>'1.2'!C22</f>
        <v>2</v>
      </c>
      <c r="G22" s="13">
        <f>'1.3'!C22</f>
        <v>2</v>
      </c>
      <c r="H22" s="13">
        <f>'1.4'!E23</f>
        <v>1</v>
      </c>
      <c r="I22" s="13">
        <f>'1.5'!E23</f>
        <v>1</v>
      </c>
    </row>
    <row r="23" spans="1:9" ht="16" customHeight="1">
      <c r="A23" s="107" t="s">
        <v>17</v>
      </c>
      <c r="B23" s="15">
        <f t="shared" si="0"/>
        <v>66.7</v>
      </c>
      <c r="C23" s="15">
        <f t="shared" si="1"/>
        <v>12</v>
      </c>
      <c r="D23" s="15">
        <f t="shared" si="2"/>
        <v>8</v>
      </c>
      <c r="E23" s="16">
        <f>'1.1'!F23</f>
        <v>4</v>
      </c>
      <c r="F23" s="13">
        <f>'1.2'!C23</f>
        <v>2</v>
      </c>
      <c r="G23" s="13">
        <f>'1.3'!C23</f>
        <v>0</v>
      </c>
      <c r="H23" s="13">
        <f>'1.4'!E24</f>
        <v>0</v>
      </c>
      <c r="I23" s="13">
        <f>'1.5'!E24</f>
        <v>2</v>
      </c>
    </row>
    <row r="24" spans="1:9" ht="16" customHeight="1">
      <c r="A24" s="107" t="s">
        <v>545</v>
      </c>
      <c r="B24" s="15">
        <f t="shared" si="0"/>
        <v>50</v>
      </c>
      <c r="C24" s="15">
        <f>$D$5-I5</f>
        <v>10</v>
      </c>
      <c r="D24" s="15">
        <f t="shared" si="2"/>
        <v>5</v>
      </c>
      <c r="E24" s="16">
        <f>'1.1'!F24</f>
        <v>4</v>
      </c>
      <c r="F24" s="13">
        <f>'1.2'!C24</f>
        <v>0</v>
      </c>
      <c r="G24" s="13">
        <f>'1.3'!C24</f>
        <v>0</v>
      </c>
      <c r="H24" s="13">
        <f>'1.4'!E25</f>
        <v>1</v>
      </c>
      <c r="I24" s="13" t="str">
        <f>'1.5'!E25</f>
        <v>- *</v>
      </c>
    </row>
    <row r="25" spans="1:9" ht="16" customHeight="1">
      <c r="A25" s="120" t="s">
        <v>18</v>
      </c>
      <c r="B25" s="24"/>
      <c r="C25" s="24"/>
      <c r="D25" s="24"/>
      <c r="E25" s="25"/>
      <c r="F25" s="26"/>
      <c r="G25" s="26"/>
      <c r="H25" s="26"/>
      <c r="I25" s="26"/>
    </row>
    <row r="26" spans="1:9" s="7" customFormat="1" ht="16" customHeight="1">
      <c r="A26" s="107" t="s">
        <v>19</v>
      </c>
      <c r="B26" s="15">
        <f t="shared" si="0"/>
        <v>100</v>
      </c>
      <c r="C26" s="15">
        <f t="shared" si="1"/>
        <v>12</v>
      </c>
      <c r="D26" s="15">
        <f t="shared" ref="D26:D36" si="3">SUM(E26:I26)</f>
        <v>12</v>
      </c>
      <c r="E26" s="16">
        <f>'1.1'!F26</f>
        <v>4</v>
      </c>
      <c r="F26" s="13">
        <f>'1.2'!C26</f>
        <v>2</v>
      </c>
      <c r="G26" s="13">
        <f>'1.3'!C26</f>
        <v>2</v>
      </c>
      <c r="H26" s="13">
        <f>'1.4'!E27</f>
        <v>2</v>
      </c>
      <c r="I26" s="13">
        <f>'1.5'!E27</f>
        <v>2</v>
      </c>
    </row>
    <row r="27" spans="1:9" ht="16" customHeight="1">
      <c r="A27" s="107" t="s">
        <v>20</v>
      </c>
      <c r="B27" s="15">
        <f t="shared" si="0"/>
        <v>66.7</v>
      </c>
      <c r="C27" s="15">
        <f t="shared" si="1"/>
        <v>12</v>
      </c>
      <c r="D27" s="15">
        <f t="shared" si="3"/>
        <v>8</v>
      </c>
      <c r="E27" s="16">
        <f>'1.1'!F27</f>
        <v>4</v>
      </c>
      <c r="F27" s="13">
        <f>'1.2'!C27</f>
        <v>0</v>
      </c>
      <c r="G27" s="13">
        <f>'1.3'!C27</f>
        <v>0</v>
      </c>
      <c r="H27" s="13">
        <f>'1.4'!E28</f>
        <v>2</v>
      </c>
      <c r="I27" s="13">
        <f>'1.5'!E28</f>
        <v>2</v>
      </c>
    </row>
    <row r="28" spans="1:9" ht="16" customHeight="1">
      <c r="A28" s="107" t="s">
        <v>21</v>
      </c>
      <c r="B28" s="15">
        <f t="shared" si="0"/>
        <v>100</v>
      </c>
      <c r="C28" s="15">
        <f t="shared" si="1"/>
        <v>12</v>
      </c>
      <c r="D28" s="15">
        <f t="shared" si="3"/>
        <v>12</v>
      </c>
      <c r="E28" s="16">
        <f>'1.1'!F28</f>
        <v>4</v>
      </c>
      <c r="F28" s="13">
        <f>'1.2'!C28</f>
        <v>2</v>
      </c>
      <c r="G28" s="13">
        <f>'1.3'!C28</f>
        <v>2</v>
      </c>
      <c r="H28" s="13">
        <f>'1.4'!E29</f>
        <v>2</v>
      </c>
      <c r="I28" s="13">
        <f>'1.5'!E29</f>
        <v>2</v>
      </c>
    </row>
    <row r="29" spans="1:9" ht="16" customHeight="1">
      <c r="A29" s="107" t="s">
        <v>22</v>
      </c>
      <c r="B29" s="15">
        <f t="shared" si="0"/>
        <v>100</v>
      </c>
      <c r="C29" s="15">
        <f t="shared" si="1"/>
        <v>12</v>
      </c>
      <c r="D29" s="15">
        <f t="shared" si="3"/>
        <v>12</v>
      </c>
      <c r="E29" s="16">
        <f>'1.1'!F29</f>
        <v>4</v>
      </c>
      <c r="F29" s="13">
        <f>'1.2'!C29</f>
        <v>2</v>
      </c>
      <c r="G29" s="13">
        <f>'1.3'!C29</f>
        <v>2</v>
      </c>
      <c r="H29" s="13">
        <f>'1.4'!E30</f>
        <v>2</v>
      </c>
      <c r="I29" s="13">
        <f>'1.5'!E30</f>
        <v>2</v>
      </c>
    </row>
    <row r="30" spans="1:9" ht="16" customHeight="1">
      <c r="A30" s="107" t="s">
        <v>23</v>
      </c>
      <c r="B30" s="15">
        <f t="shared" si="0"/>
        <v>50</v>
      </c>
      <c r="C30" s="15">
        <f t="shared" si="1"/>
        <v>12</v>
      </c>
      <c r="D30" s="15">
        <f t="shared" si="3"/>
        <v>6</v>
      </c>
      <c r="E30" s="16">
        <f>'1.1'!F30</f>
        <v>4</v>
      </c>
      <c r="F30" s="13">
        <f>'1.2'!C30</f>
        <v>2</v>
      </c>
      <c r="G30" s="13">
        <f>'1.3'!C30</f>
        <v>0</v>
      </c>
      <c r="H30" s="13">
        <f>'1.4'!E31</f>
        <v>0</v>
      </c>
      <c r="I30" s="13">
        <f>'1.5'!E31</f>
        <v>0</v>
      </c>
    </row>
    <row r="31" spans="1:9" ht="16" customHeight="1">
      <c r="A31" s="107" t="s">
        <v>24</v>
      </c>
      <c r="B31" s="15">
        <f t="shared" si="0"/>
        <v>83.3</v>
      </c>
      <c r="C31" s="15">
        <f t="shared" si="1"/>
        <v>12</v>
      </c>
      <c r="D31" s="15">
        <f t="shared" si="3"/>
        <v>10</v>
      </c>
      <c r="E31" s="16">
        <f>'1.1'!F31</f>
        <v>4</v>
      </c>
      <c r="F31" s="13">
        <f>'1.2'!C31</f>
        <v>2</v>
      </c>
      <c r="G31" s="13">
        <f>'1.3'!C31</f>
        <v>2</v>
      </c>
      <c r="H31" s="13">
        <f>'1.4'!E32</f>
        <v>2</v>
      </c>
      <c r="I31" s="13">
        <f>'1.5'!E32</f>
        <v>0</v>
      </c>
    </row>
    <row r="32" spans="1:9" s="7" customFormat="1" ht="16" customHeight="1">
      <c r="A32" s="107" t="s">
        <v>25</v>
      </c>
      <c r="B32" s="15">
        <f t="shared" si="0"/>
        <v>91.7</v>
      </c>
      <c r="C32" s="15">
        <f t="shared" si="1"/>
        <v>12</v>
      </c>
      <c r="D32" s="15">
        <f t="shared" si="3"/>
        <v>11</v>
      </c>
      <c r="E32" s="16">
        <f>'1.1'!F32</f>
        <v>4</v>
      </c>
      <c r="F32" s="13">
        <f>'1.2'!C32</f>
        <v>2</v>
      </c>
      <c r="G32" s="13">
        <f>'1.3'!C32</f>
        <v>2</v>
      </c>
      <c r="H32" s="13">
        <f>'1.4'!E33</f>
        <v>2</v>
      </c>
      <c r="I32" s="13">
        <f>'1.5'!E33</f>
        <v>1</v>
      </c>
    </row>
    <row r="33" spans="1:9" s="7" customFormat="1" ht="16" customHeight="1">
      <c r="A33" s="107" t="s">
        <v>26</v>
      </c>
      <c r="B33" s="15">
        <f t="shared" si="0"/>
        <v>75</v>
      </c>
      <c r="C33" s="15">
        <f t="shared" si="1"/>
        <v>12</v>
      </c>
      <c r="D33" s="15">
        <f t="shared" si="3"/>
        <v>9</v>
      </c>
      <c r="E33" s="16">
        <f>'1.1'!F33</f>
        <v>4</v>
      </c>
      <c r="F33" s="13">
        <f>'1.2'!C33</f>
        <v>0</v>
      </c>
      <c r="G33" s="13">
        <f>'1.3'!C33</f>
        <v>2</v>
      </c>
      <c r="H33" s="13">
        <f>'1.4'!E34</f>
        <v>1</v>
      </c>
      <c r="I33" s="13">
        <f>'1.5'!E34</f>
        <v>2</v>
      </c>
    </row>
    <row r="34" spans="1:9" ht="16" customHeight="1">
      <c r="A34" s="107" t="s">
        <v>27</v>
      </c>
      <c r="B34" s="15">
        <f t="shared" si="0"/>
        <v>75</v>
      </c>
      <c r="C34" s="15">
        <f t="shared" si="1"/>
        <v>12</v>
      </c>
      <c r="D34" s="15">
        <f>SUM(E34:I34)</f>
        <v>9</v>
      </c>
      <c r="E34" s="16">
        <f>'1.1'!F34</f>
        <v>1</v>
      </c>
      <c r="F34" s="13">
        <f>'1.2'!C34</f>
        <v>2</v>
      </c>
      <c r="G34" s="13">
        <f>'1.3'!C34</f>
        <v>2</v>
      </c>
      <c r="H34" s="13">
        <f>'1.4'!E35</f>
        <v>2</v>
      </c>
      <c r="I34" s="13">
        <f>'1.5'!E35</f>
        <v>2</v>
      </c>
    </row>
    <row r="35" spans="1:9" ht="16" customHeight="1">
      <c r="A35" s="107" t="s">
        <v>546</v>
      </c>
      <c r="B35" s="15">
        <f t="shared" si="0"/>
        <v>90</v>
      </c>
      <c r="C35" s="15">
        <f>$D$5-I5</f>
        <v>10</v>
      </c>
      <c r="D35" s="15">
        <f t="shared" si="3"/>
        <v>9</v>
      </c>
      <c r="E35" s="16">
        <f>'1.1'!F35</f>
        <v>4</v>
      </c>
      <c r="F35" s="13">
        <f>'1.2'!C35</f>
        <v>2</v>
      </c>
      <c r="G35" s="13">
        <f>'1.3'!C35</f>
        <v>2</v>
      </c>
      <c r="H35" s="13">
        <f>'1.4'!E36</f>
        <v>1</v>
      </c>
      <c r="I35" s="13" t="str">
        <f>'1.5'!E36</f>
        <v>- *</v>
      </c>
    </row>
    <row r="36" spans="1:9" ht="16" customHeight="1">
      <c r="A36" s="107" t="s">
        <v>28</v>
      </c>
      <c r="B36" s="15">
        <f t="shared" si="0"/>
        <v>91.7</v>
      </c>
      <c r="C36" s="15">
        <f t="shared" si="1"/>
        <v>12</v>
      </c>
      <c r="D36" s="15">
        <f t="shared" si="3"/>
        <v>11</v>
      </c>
      <c r="E36" s="16">
        <f>'1.1'!F36</f>
        <v>4</v>
      </c>
      <c r="F36" s="13">
        <f>'1.2'!C36</f>
        <v>2</v>
      </c>
      <c r="G36" s="13">
        <f>'1.3'!C36</f>
        <v>2</v>
      </c>
      <c r="H36" s="13">
        <f>'1.4'!E37</f>
        <v>1</v>
      </c>
      <c r="I36" s="13">
        <f>'1.5'!E37</f>
        <v>2</v>
      </c>
    </row>
    <row r="37" spans="1:9" ht="16" customHeight="1">
      <c r="A37" s="120" t="s">
        <v>29</v>
      </c>
      <c r="B37" s="24"/>
      <c r="C37" s="24"/>
      <c r="D37" s="24"/>
      <c r="E37" s="25"/>
      <c r="F37" s="26"/>
      <c r="G37" s="26"/>
      <c r="H37" s="26"/>
      <c r="I37" s="26"/>
    </row>
    <row r="38" spans="1:9" ht="16" customHeight="1">
      <c r="A38" s="107" t="s">
        <v>30</v>
      </c>
      <c r="B38" s="246">
        <f t="shared" si="0"/>
        <v>83.3</v>
      </c>
      <c r="C38" s="246">
        <f t="shared" si="1"/>
        <v>12</v>
      </c>
      <c r="D38" s="246">
        <f t="shared" ref="D38:D45" si="4">SUM(E38:I38)</f>
        <v>10</v>
      </c>
      <c r="E38" s="16">
        <f>'1.1'!F38</f>
        <v>4</v>
      </c>
      <c r="F38" s="13">
        <f>'1.2'!C38</f>
        <v>2</v>
      </c>
      <c r="G38" s="13">
        <f>'1.3'!C38</f>
        <v>2</v>
      </c>
      <c r="H38" s="13">
        <f>'1.4'!E39</f>
        <v>0</v>
      </c>
      <c r="I38" s="245">
        <f>'1.5'!E39</f>
        <v>2</v>
      </c>
    </row>
    <row r="39" spans="1:9" ht="16" customHeight="1">
      <c r="A39" s="107" t="s">
        <v>31</v>
      </c>
      <c r="B39" s="15">
        <f t="shared" si="0"/>
        <v>100</v>
      </c>
      <c r="C39" s="15">
        <f t="shared" si="1"/>
        <v>12</v>
      </c>
      <c r="D39" s="15">
        <f t="shared" si="4"/>
        <v>12</v>
      </c>
      <c r="E39" s="16">
        <f>'1.1'!F39</f>
        <v>4</v>
      </c>
      <c r="F39" s="13">
        <f>'1.2'!C39</f>
        <v>2</v>
      </c>
      <c r="G39" s="13">
        <f>'1.3'!C39</f>
        <v>2</v>
      </c>
      <c r="H39" s="13">
        <f>'1.4'!E40</f>
        <v>2</v>
      </c>
      <c r="I39" s="13">
        <f>'1.5'!E40</f>
        <v>2</v>
      </c>
    </row>
    <row r="40" spans="1:9" ht="16" customHeight="1">
      <c r="A40" s="107" t="s">
        <v>87</v>
      </c>
      <c r="B40" s="15">
        <f t="shared" si="0"/>
        <v>100</v>
      </c>
      <c r="C40" s="15">
        <f t="shared" si="1"/>
        <v>12</v>
      </c>
      <c r="D40" s="15">
        <f t="shared" si="4"/>
        <v>12</v>
      </c>
      <c r="E40" s="16">
        <f>'1.1'!F40</f>
        <v>4</v>
      </c>
      <c r="F40" s="13">
        <f>'1.2'!C40</f>
        <v>2</v>
      </c>
      <c r="G40" s="13">
        <f>'1.3'!C40</f>
        <v>2</v>
      </c>
      <c r="H40" s="13">
        <f>'1.4'!E41</f>
        <v>2</v>
      </c>
      <c r="I40" s="13">
        <f>'1.5'!E41</f>
        <v>2</v>
      </c>
    </row>
    <row r="41" spans="1:9" s="7" customFormat="1" ht="16" customHeight="1">
      <c r="A41" s="107" t="s">
        <v>32</v>
      </c>
      <c r="B41" s="15">
        <f t="shared" si="0"/>
        <v>100</v>
      </c>
      <c r="C41" s="15">
        <f t="shared" si="1"/>
        <v>12</v>
      </c>
      <c r="D41" s="15">
        <f t="shared" si="4"/>
        <v>12</v>
      </c>
      <c r="E41" s="16">
        <f>'1.1'!F41</f>
        <v>4</v>
      </c>
      <c r="F41" s="13">
        <f>'1.2'!C41</f>
        <v>2</v>
      </c>
      <c r="G41" s="13">
        <f>'1.3'!C41</f>
        <v>2</v>
      </c>
      <c r="H41" s="13">
        <f>'1.4'!E42</f>
        <v>2</v>
      </c>
      <c r="I41" s="13">
        <f>'1.5'!E42</f>
        <v>2</v>
      </c>
    </row>
    <row r="42" spans="1:9" ht="16" customHeight="1">
      <c r="A42" s="107" t="s">
        <v>33</v>
      </c>
      <c r="B42" s="15">
        <f t="shared" si="0"/>
        <v>87.5</v>
      </c>
      <c r="C42" s="15">
        <f t="shared" si="1"/>
        <v>12</v>
      </c>
      <c r="D42" s="15">
        <f t="shared" si="4"/>
        <v>10.5</v>
      </c>
      <c r="E42" s="16">
        <f>'1.1'!F42</f>
        <v>4</v>
      </c>
      <c r="F42" s="13">
        <f>'1.2'!C42</f>
        <v>2</v>
      </c>
      <c r="G42" s="13">
        <f>'1.3'!C42</f>
        <v>2</v>
      </c>
      <c r="H42" s="13">
        <f>'1.4'!E43</f>
        <v>0.5</v>
      </c>
      <c r="I42" s="13">
        <f>'1.5'!E43</f>
        <v>2</v>
      </c>
    </row>
    <row r="43" spans="1:9" ht="16" customHeight="1">
      <c r="A43" s="107" t="s">
        <v>34</v>
      </c>
      <c r="B43" s="15">
        <f t="shared" si="0"/>
        <v>83.3</v>
      </c>
      <c r="C43" s="15">
        <f t="shared" si="1"/>
        <v>12</v>
      </c>
      <c r="D43" s="15">
        <f t="shared" si="4"/>
        <v>10</v>
      </c>
      <c r="E43" s="16">
        <f>'1.1'!F43</f>
        <v>4</v>
      </c>
      <c r="F43" s="13">
        <f>'1.2'!C43</f>
        <v>2</v>
      </c>
      <c r="G43" s="13">
        <f>'1.3'!C43</f>
        <v>2</v>
      </c>
      <c r="H43" s="13">
        <f>'1.4'!E44</f>
        <v>0</v>
      </c>
      <c r="I43" s="13">
        <f>'1.5'!E44</f>
        <v>2</v>
      </c>
    </row>
    <row r="44" spans="1:9" ht="16" customHeight="1">
      <c r="A44" s="107" t="s">
        <v>35</v>
      </c>
      <c r="B44" s="15">
        <f t="shared" si="0"/>
        <v>100</v>
      </c>
      <c r="C44" s="15">
        <f t="shared" si="1"/>
        <v>12</v>
      </c>
      <c r="D44" s="15">
        <f t="shared" si="4"/>
        <v>12</v>
      </c>
      <c r="E44" s="16">
        <f>'1.1'!F44</f>
        <v>4</v>
      </c>
      <c r="F44" s="13">
        <f>'1.2'!C44</f>
        <v>2</v>
      </c>
      <c r="G44" s="13">
        <f>'1.3'!C44</f>
        <v>2</v>
      </c>
      <c r="H44" s="13">
        <f>'1.4'!E45</f>
        <v>2</v>
      </c>
      <c r="I44" s="13">
        <f>'1.5'!E45</f>
        <v>2</v>
      </c>
    </row>
    <row r="45" spans="1:9" ht="16" customHeight="1">
      <c r="A45" s="107" t="s">
        <v>222</v>
      </c>
      <c r="B45" s="15">
        <f t="shared" si="0"/>
        <v>70</v>
      </c>
      <c r="C45" s="15">
        <f>$D$5-$I$5</f>
        <v>10</v>
      </c>
      <c r="D45" s="15">
        <f t="shared" si="4"/>
        <v>7</v>
      </c>
      <c r="E45" s="16">
        <f>'1.1'!F45</f>
        <v>4</v>
      </c>
      <c r="F45" s="13">
        <f>'1.2'!C45</f>
        <v>0</v>
      </c>
      <c r="G45" s="13">
        <f>'1.3'!C45</f>
        <v>2</v>
      </c>
      <c r="H45" s="13">
        <f>'1.4'!E46</f>
        <v>1</v>
      </c>
      <c r="I45" s="13" t="str">
        <f>'1.5'!E46</f>
        <v>- *</v>
      </c>
    </row>
    <row r="46" spans="1:9" ht="16" customHeight="1">
      <c r="A46" s="120" t="s">
        <v>36</v>
      </c>
      <c r="B46" s="24"/>
      <c r="C46" s="24"/>
      <c r="D46" s="24"/>
      <c r="E46" s="25"/>
      <c r="F46" s="26"/>
      <c r="G46" s="26"/>
      <c r="H46" s="26"/>
      <c r="I46" s="26"/>
    </row>
    <row r="47" spans="1:9" ht="16" customHeight="1">
      <c r="A47" s="107" t="s">
        <v>37</v>
      </c>
      <c r="B47" s="15">
        <f t="shared" si="0"/>
        <v>50</v>
      </c>
      <c r="C47" s="15">
        <f t="shared" si="1"/>
        <v>12</v>
      </c>
      <c r="D47" s="15">
        <f t="shared" ref="D47:D53" si="5">SUM(E47:I47)</f>
        <v>6</v>
      </c>
      <c r="E47" s="16">
        <f>'1.1'!F47</f>
        <v>2</v>
      </c>
      <c r="F47" s="13">
        <f>'1.2'!C47</f>
        <v>2</v>
      </c>
      <c r="G47" s="13">
        <f>'1.3'!C47</f>
        <v>2</v>
      </c>
      <c r="H47" s="13">
        <f>'1.4'!E48</f>
        <v>0</v>
      </c>
      <c r="I47" s="13">
        <f>'1.5'!E48</f>
        <v>0</v>
      </c>
    </row>
    <row r="48" spans="1:9" ht="16" customHeight="1">
      <c r="A48" s="107" t="s">
        <v>38</v>
      </c>
      <c r="B48" s="15">
        <f t="shared" si="0"/>
        <v>37.5</v>
      </c>
      <c r="C48" s="15">
        <f t="shared" si="1"/>
        <v>12</v>
      </c>
      <c r="D48" s="15">
        <f t="shared" si="5"/>
        <v>4.5</v>
      </c>
      <c r="E48" s="16">
        <f>'1.1'!F48</f>
        <v>0</v>
      </c>
      <c r="F48" s="13">
        <f>'1.2'!C48</f>
        <v>2</v>
      </c>
      <c r="G48" s="13">
        <f>'1.3'!C48</f>
        <v>2</v>
      </c>
      <c r="H48" s="13">
        <f>'1.4'!E49</f>
        <v>0</v>
      </c>
      <c r="I48" s="13">
        <f>'1.5'!E49</f>
        <v>0.5</v>
      </c>
    </row>
    <row r="49" spans="1:9" ht="16" customHeight="1">
      <c r="A49" s="107" t="s">
        <v>39</v>
      </c>
      <c r="B49" s="15">
        <f t="shared" si="0"/>
        <v>91.7</v>
      </c>
      <c r="C49" s="15">
        <f t="shared" si="1"/>
        <v>12</v>
      </c>
      <c r="D49" s="15">
        <f t="shared" si="5"/>
        <v>11</v>
      </c>
      <c r="E49" s="16">
        <f>'1.1'!F49</f>
        <v>4</v>
      </c>
      <c r="F49" s="13">
        <f>'1.2'!C49</f>
        <v>2</v>
      </c>
      <c r="G49" s="13">
        <f>'1.3'!C49</f>
        <v>2</v>
      </c>
      <c r="H49" s="13">
        <f>'1.4'!E50</f>
        <v>2</v>
      </c>
      <c r="I49" s="13">
        <f>'1.5'!E50</f>
        <v>1</v>
      </c>
    </row>
    <row r="50" spans="1:9" ht="16" customHeight="1">
      <c r="A50" s="107" t="s">
        <v>40</v>
      </c>
      <c r="B50" s="15">
        <f t="shared" si="0"/>
        <v>66.7</v>
      </c>
      <c r="C50" s="15">
        <f t="shared" si="1"/>
        <v>12</v>
      </c>
      <c r="D50" s="15">
        <f t="shared" si="5"/>
        <v>8</v>
      </c>
      <c r="E50" s="16">
        <f>'1.1'!F50</f>
        <v>4</v>
      </c>
      <c r="F50" s="13">
        <f>'1.2'!C50</f>
        <v>2</v>
      </c>
      <c r="G50" s="13">
        <f>'1.3'!C50</f>
        <v>2</v>
      </c>
      <c r="H50" s="13">
        <f>'1.4'!E51</f>
        <v>0</v>
      </c>
      <c r="I50" s="13">
        <f>'1.5'!E51</f>
        <v>0</v>
      </c>
    </row>
    <row r="51" spans="1:9" ht="16" customHeight="1">
      <c r="A51" s="107" t="s">
        <v>547</v>
      </c>
      <c r="B51" s="15">
        <f t="shared" si="0"/>
        <v>50</v>
      </c>
      <c r="C51" s="15">
        <f t="shared" si="1"/>
        <v>12</v>
      </c>
      <c r="D51" s="15">
        <f t="shared" si="5"/>
        <v>6</v>
      </c>
      <c r="E51" s="16">
        <f>'1.1'!F51</f>
        <v>4</v>
      </c>
      <c r="F51" s="13">
        <f>'1.2'!C51</f>
        <v>0</v>
      </c>
      <c r="G51" s="13">
        <f>'1.3'!C51</f>
        <v>2</v>
      </c>
      <c r="H51" s="13">
        <f>'1.4'!E52</f>
        <v>0</v>
      </c>
      <c r="I51" s="13">
        <f>'1.5'!E52</f>
        <v>0</v>
      </c>
    </row>
    <row r="52" spans="1:9" ht="16" customHeight="1">
      <c r="A52" s="107" t="s">
        <v>41</v>
      </c>
      <c r="B52" s="15">
        <f t="shared" si="0"/>
        <v>33.299999999999997</v>
      </c>
      <c r="C52" s="15">
        <f t="shared" si="1"/>
        <v>12</v>
      </c>
      <c r="D52" s="15">
        <f t="shared" si="5"/>
        <v>4</v>
      </c>
      <c r="E52" s="16">
        <f>'1.1'!F52</f>
        <v>0</v>
      </c>
      <c r="F52" s="13">
        <f>'1.2'!C52</f>
        <v>2</v>
      </c>
      <c r="G52" s="13">
        <f>'1.3'!C52</f>
        <v>2</v>
      </c>
      <c r="H52" s="13">
        <f>'1.4'!E53</f>
        <v>0</v>
      </c>
      <c r="I52" s="13">
        <f>'1.5'!E53</f>
        <v>0</v>
      </c>
    </row>
    <row r="53" spans="1:9" ht="16" customHeight="1">
      <c r="A53" s="107" t="s">
        <v>42</v>
      </c>
      <c r="B53" s="15">
        <f t="shared" si="0"/>
        <v>100</v>
      </c>
      <c r="C53" s="15">
        <f t="shared" si="1"/>
        <v>12</v>
      </c>
      <c r="D53" s="15">
        <f t="shared" si="5"/>
        <v>12</v>
      </c>
      <c r="E53" s="16">
        <f>'1.1'!F53</f>
        <v>4</v>
      </c>
      <c r="F53" s="13">
        <f>'1.2'!C53</f>
        <v>2</v>
      </c>
      <c r="G53" s="13">
        <f>'1.3'!C53</f>
        <v>2</v>
      </c>
      <c r="H53" s="13">
        <f>'1.4'!E54</f>
        <v>2</v>
      </c>
      <c r="I53" s="13">
        <f>'1.5'!E54</f>
        <v>2</v>
      </c>
    </row>
    <row r="54" spans="1:9" ht="16" customHeight="1">
      <c r="A54" s="120" t="s">
        <v>43</v>
      </c>
      <c r="B54" s="24"/>
      <c r="C54" s="24"/>
      <c r="D54" s="24"/>
      <c r="E54" s="25"/>
      <c r="F54" s="26"/>
      <c r="G54" s="26"/>
      <c r="H54" s="26"/>
      <c r="I54" s="26"/>
    </row>
    <row r="55" spans="1:9" ht="16" customHeight="1">
      <c r="A55" s="107" t="s">
        <v>44</v>
      </c>
      <c r="B55" s="15">
        <f t="shared" si="0"/>
        <v>100</v>
      </c>
      <c r="C55" s="15">
        <f t="shared" si="1"/>
        <v>12</v>
      </c>
      <c r="D55" s="15">
        <f t="shared" ref="D55:D68" si="6">SUM(E55:I55)</f>
        <v>12</v>
      </c>
      <c r="E55" s="16">
        <f>'1.1'!F55</f>
        <v>4</v>
      </c>
      <c r="F55" s="13">
        <f>'1.2'!C55</f>
        <v>2</v>
      </c>
      <c r="G55" s="13">
        <f>'1.3'!C55</f>
        <v>2</v>
      </c>
      <c r="H55" s="13">
        <f>'1.4'!E56</f>
        <v>2</v>
      </c>
      <c r="I55" s="13">
        <f>'1.5'!E56</f>
        <v>2</v>
      </c>
    </row>
    <row r="56" spans="1:9" s="7" customFormat="1" ht="16" customHeight="1">
      <c r="A56" s="107" t="s">
        <v>548</v>
      </c>
      <c r="B56" s="15">
        <f t="shared" si="0"/>
        <v>91.7</v>
      </c>
      <c r="C56" s="15">
        <f t="shared" si="1"/>
        <v>12</v>
      </c>
      <c r="D56" s="15">
        <f t="shared" si="6"/>
        <v>11</v>
      </c>
      <c r="E56" s="16">
        <f>'1.1'!F56</f>
        <v>4</v>
      </c>
      <c r="F56" s="13">
        <f>'1.2'!C56</f>
        <v>2</v>
      </c>
      <c r="G56" s="13">
        <f>'1.3'!C56</f>
        <v>2</v>
      </c>
      <c r="H56" s="13">
        <f>'1.4'!E57</f>
        <v>1</v>
      </c>
      <c r="I56" s="13">
        <f>'1.5'!E57</f>
        <v>2</v>
      </c>
    </row>
    <row r="57" spans="1:9" ht="16" customHeight="1">
      <c r="A57" s="107" t="s">
        <v>45</v>
      </c>
      <c r="B57" s="15">
        <f t="shared" si="0"/>
        <v>33.299999999999997</v>
      </c>
      <c r="C57" s="15">
        <f t="shared" si="1"/>
        <v>12</v>
      </c>
      <c r="D57" s="15">
        <f t="shared" si="6"/>
        <v>4</v>
      </c>
      <c r="E57" s="16">
        <f>'1.1'!F57</f>
        <v>2</v>
      </c>
      <c r="F57" s="13">
        <f>'1.2'!C57</f>
        <v>0</v>
      </c>
      <c r="G57" s="13">
        <f>'1.3'!C57</f>
        <v>2</v>
      </c>
      <c r="H57" s="13">
        <f>'1.4'!E58</f>
        <v>0</v>
      </c>
      <c r="I57" s="13">
        <f>'1.5'!E58</f>
        <v>0</v>
      </c>
    </row>
    <row r="58" spans="1:9" ht="16" customHeight="1">
      <c r="A58" s="107" t="s">
        <v>46</v>
      </c>
      <c r="B58" s="15">
        <f t="shared" si="0"/>
        <v>66.7</v>
      </c>
      <c r="C58" s="15">
        <f t="shared" si="1"/>
        <v>12</v>
      </c>
      <c r="D58" s="15">
        <f t="shared" si="6"/>
        <v>8</v>
      </c>
      <c r="E58" s="16">
        <f>'1.1'!F58</f>
        <v>4</v>
      </c>
      <c r="F58" s="13">
        <f>'1.2'!C58</f>
        <v>2</v>
      </c>
      <c r="G58" s="13">
        <f>'1.3'!C58</f>
        <v>2</v>
      </c>
      <c r="H58" s="13">
        <f>'1.4'!E59</f>
        <v>0</v>
      </c>
      <c r="I58" s="13">
        <f>'1.5'!E59</f>
        <v>0</v>
      </c>
    </row>
    <row r="59" spans="1:9" ht="16" customHeight="1">
      <c r="A59" s="107" t="s">
        <v>47</v>
      </c>
      <c r="B59" s="15">
        <f t="shared" si="0"/>
        <v>75</v>
      </c>
      <c r="C59" s="15">
        <f t="shared" si="1"/>
        <v>12</v>
      </c>
      <c r="D59" s="15">
        <f t="shared" si="6"/>
        <v>9</v>
      </c>
      <c r="E59" s="16">
        <f>'1.1'!F59</f>
        <v>4</v>
      </c>
      <c r="F59" s="13">
        <f>'1.2'!C59</f>
        <v>2</v>
      </c>
      <c r="G59" s="13">
        <f>'1.3'!C59</f>
        <v>2</v>
      </c>
      <c r="H59" s="13">
        <f>'1.4'!E60</f>
        <v>0</v>
      </c>
      <c r="I59" s="13">
        <f>'1.5'!E60</f>
        <v>1</v>
      </c>
    </row>
    <row r="60" spans="1:9" ht="16" customHeight="1">
      <c r="A60" s="107" t="s">
        <v>549</v>
      </c>
      <c r="B60" s="15">
        <f t="shared" si="0"/>
        <v>100</v>
      </c>
      <c r="C60" s="15">
        <f t="shared" si="1"/>
        <v>12</v>
      </c>
      <c r="D60" s="15">
        <f t="shared" si="6"/>
        <v>12</v>
      </c>
      <c r="E60" s="16">
        <f>'1.1'!F60</f>
        <v>4</v>
      </c>
      <c r="F60" s="13">
        <f>'1.2'!C60</f>
        <v>2</v>
      </c>
      <c r="G60" s="13">
        <f>'1.3'!C60</f>
        <v>2</v>
      </c>
      <c r="H60" s="13">
        <f>'1.4'!E61</f>
        <v>2</v>
      </c>
      <c r="I60" s="13">
        <f>'1.5'!E61</f>
        <v>2</v>
      </c>
    </row>
    <row r="61" spans="1:9" ht="16" customHeight="1">
      <c r="A61" s="107" t="s">
        <v>48</v>
      </c>
      <c r="B61" s="15">
        <f t="shared" si="0"/>
        <v>25</v>
      </c>
      <c r="C61" s="15">
        <f t="shared" si="1"/>
        <v>12</v>
      </c>
      <c r="D61" s="15">
        <f t="shared" si="6"/>
        <v>3</v>
      </c>
      <c r="E61" s="16">
        <f>'1.1'!F61</f>
        <v>2</v>
      </c>
      <c r="F61" s="13">
        <f>'1.2'!C61</f>
        <v>0</v>
      </c>
      <c r="G61" s="13">
        <f>'1.3'!C61</f>
        <v>0</v>
      </c>
      <c r="H61" s="13">
        <f>'1.4'!E62</f>
        <v>0</v>
      </c>
      <c r="I61" s="13">
        <f>'1.5'!E62</f>
        <v>1</v>
      </c>
    </row>
    <row r="62" spans="1:9" ht="16" customHeight="1">
      <c r="A62" s="107" t="s">
        <v>49</v>
      </c>
      <c r="B62" s="15">
        <f t="shared" si="0"/>
        <v>100</v>
      </c>
      <c r="C62" s="15">
        <f t="shared" si="1"/>
        <v>12</v>
      </c>
      <c r="D62" s="15">
        <f t="shared" si="6"/>
        <v>12</v>
      </c>
      <c r="E62" s="16">
        <f>'1.1'!F62</f>
        <v>4</v>
      </c>
      <c r="F62" s="13">
        <f>'1.2'!C62</f>
        <v>2</v>
      </c>
      <c r="G62" s="13">
        <f>'1.3'!C62</f>
        <v>2</v>
      </c>
      <c r="H62" s="13">
        <f>'1.4'!E63</f>
        <v>2</v>
      </c>
      <c r="I62" s="13">
        <f>'1.5'!E63</f>
        <v>2</v>
      </c>
    </row>
    <row r="63" spans="1:9" ht="16" customHeight="1">
      <c r="A63" s="107" t="s">
        <v>550</v>
      </c>
      <c r="B63" s="15">
        <f t="shared" si="0"/>
        <v>91.7</v>
      </c>
      <c r="C63" s="15">
        <f t="shared" si="1"/>
        <v>12</v>
      </c>
      <c r="D63" s="15">
        <f t="shared" si="6"/>
        <v>11</v>
      </c>
      <c r="E63" s="16">
        <f>'1.1'!F63</f>
        <v>4</v>
      </c>
      <c r="F63" s="13">
        <f>'1.2'!C63</f>
        <v>2</v>
      </c>
      <c r="G63" s="13">
        <f>'1.3'!C63</f>
        <v>2</v>
      </c>
      <c r="H63" s="13">
        <f>'1.4'!E64</f>
        <v>1</v>
      </c>
      <c r="I63" s="13">
        <f>'1.5'!E64</f>
        <v>2</v>
      </c>
    </row>
    <row r="64" spans="1:9" ht="16" customHeight="1">
      <c r="A64" s="107" t="s">
        <v>50</v>
      </c>
      <c r="B64" s="15">
        <f t="shared" si="0"/>
        <v>100</v>
      </c>
      <c r="C64" s="15">
        <f t="shared" si="1"/>
        <v>12</v>
      </c>
      <c r="D64" s="15">
        <f t="shared" si="6"/>
        <v>12</v>
      </c>
      <c r="E64" s="16">
        <f>'1.1'!F64</f>
        <v>4</v>
      </c>
      <c r="F64" s="13">
        <f>'1.2'!C64</f>
        <v>2</v>
      </c>
      <c r="G64" s="13">
        <f>'1.3'!C64</f>
        <v>2</v>
      </c>
      <c r="H64" s="13">
        <f>'1.4'!E65</f>
        <v>2</v>
      </c>
      <c r="I64" s="13">
        <f>'1.5'!E65</f>
        <v>2</v>
      </c>
    </row>
    <row r="65" spans="1:9" ht="16" customHeight="1">
      <c r="A65" s="107" t="s">
        <v>51</v>
      </c>
      <c r="B65" s="15">
        <f t="shared" si="0"/>
        <v>66.7</v>
      </c>
      <c r="C65" s="15">
        <f t="shared" si="1"/>
        <v>12</v>
      </c>
      <c r="D65" s="15">
        <f t="shared" si="6"/>
        <v>8</v>
      </c>
      <c r="E65" s="16">
        <f>'1.1'!F65</f>
        <v>2</v>
      </c>
      <c r="F65" s="13">
        <f>'1.2'!C65</f>
        <v>2</v>
      </c>
      <c r="G65" s="13">
        <f>'1.3'!C65</f>
        <v>2</v>
      </c>
      <c r="H65" s="13">
        <f>'1.4'!E66</f>
        <v>0</v>
      </c>
      <c r="I65" s="13">
        <f>'1.5'!E66</f>
        <v>2</v>
      </c>
    </row>
    <row r="66" spans="1:9" ht="16" customHeight="1">
      <c r="A66" s="107" t="s">
        <v>52</v>
      </c>
      <c r="B66" s="15">
        <f t="shared" si="0"/>
        <v>33.299999999999997</v>
      </c>
      <c r="C66" s="15">
        <f t="shared" si="1"/>
        <v>12</v>
      </c>
      <c r="D66" s="15">
        <f t="shared" si="6"/>
        <v>4</v>
      </c>
      <c r="E66" s="16">
        <f>'1.1'!F66</f>
        <v>4</v>
      </c>
      <c r="F66" s="13">
        <f>'1.2'!C66</f>
        <v>0</v>
      </c>
      <c r="G66" s="13">
        <f>'1.3'!C66</f>
        <v>0</v>
      </c>
      <c r="H66" s="13">
        <f>'1.4'!E67</f>
        <v>0</v>
      </c>
      <c r="I66" s="13">
        <f>'1.5'!E67</f>
        <v>0</v>
      </c>
    </row>
    <row r="67" spans="1:9" ht="16" customHeight="1">
      <c r="A67" s="107" t="s">
        <v>53</v>
      </c>
      <c r="B67" s="15">
        <f t="shared" si="0"/>
        <v>100</v>
      </c>
      <c r="C67" s="15">
        <f t="shared" si="1"/>
        <v>12</v>
      </c>
      <c r="D67" s="15">
        <f t="shared" si="6"/>
        <v>12</v>
      </c>
      <c r="E67" s="16">
        <f>'1.1'!F67</f>
        <v>4</v>
      </c>
      <c r="F67" s="13">
        <f>'1.2'!C67</f>
        <v>2</v>
      </c>
      <c r="G67" s="13">
        <f>'1.3'!C67</f>
        <v>2</v>
      </c>
      <c r="H67" s="13">
        <f>'1.4'!E68</f>
        <v>2</v>
      </c>
      <c r="I67" s="13">
        <f>'1.5'!E68</f>
        <v>2</v>
      </c>
    </row>
    <row r="68" spans="1:9" ht="16" customHeight="1">
      <c r="A68" s="107" t="s">
        <v>54</v>
      </c>
      <c r="B68" s="15">
        <f t="shared" si="0"/>
        <v>83.3</v>
      </c>
      <c r="C68" s="15">
        <f t="shared" si="1"/>
        <v>12</v>
      </c>
      <c r="D68" s="15">
        <f t="shared" si="6"/>
        <v>10</v>
      </c>
      <c r="E68" s="16">
        <f>'1.1'!F68</f>
        <v>4</v>
      </c>
      <c r="F68" s="13">
        <f>'1.2'!C68</f>
        <v>0</v>
      </c>
      <c r="G68" s="13">
        <f>'1.3'!C68</f>
        <v>2</v>
      </c>
      <c r="H68" s="13">
        <f>'1.4'!E69</f>
        <v>2</v>
      </c>
      <c r="I68" s="13">
        <f>'1.5'!E69</f>
        <v>2</v>
      </c>
    </row>
    <row r="69" spans="1:9" ht="16" customHeight="1">
      <c r="A69" s="120" t="s">
        <v>55</v>
      </c>
      <c r="B69" s="24"/>
      <c r="C69" s="24"/>
      <c r="D69" s="24"/>
      <c r="E69" s="25"/>
      <c r="F69" s="26"/>
      <c r="G69" s="26"/>
      <c r="H69" s="26"/>
      <c r="I69" s="26"/>
    </row>
    <row r="70" spans="1:9" ht="16" customHeight="1">
      <c r="A70" s="107" t="s">
        <v>56</v>
      </c>
      <c r="B70" s="15">
        <f t="shared" si="0"/>
        <v>50</v>
      </c>
      <c r="C70" s="15">
        <f t="shared" si="1"/>
        <v>12</v>
      </c>
      <c r="D70" s="15">
        <f t="shared" ref="D70:D75" si="7">SUM(E70:I70)</f>
        <v>6</v>
      </c>
      <c r="E70" s="16">
        <f>'1.1'!F70</f>
        <v>2</v>
      </c>
      <c r="F70" s="13">
        <f>'1.2'!C70</f>
        <v>0</v>
      </c>
      <c r="G70" s="13">
        <f>'1.3'!C70</f>
        <v>2</v>
      </c>
      <c r="H70" s="13">
        <f>'1.4'!E71</f>
        <v>0</v>
      </c>
      <c r="I70" s="13">
        <f>'1.5'!E71</f>
        <v>2</v>
      </c>
    </row>
    <row r="71" spans="1:9" ht="16" customHeight="1">
      <c r="A71" s="107" t="s">
        <v>57</v>
      </c>
      <c r="B71" s="15">
        <f t="shared" si="0"/>
        <v>66.7</v>
      </c>
      <c r="C71" s="15">
        <f t="shared" si="1"/>
        <v>12</v>
      </c>
      <c r="D71" s="15">
        <f t="shared" si="7"/>
        <v>8</v>
      </c>
      <c r="E71" s="16">
        <f>'1.1'!F71</f>
        <v>4</v>
      </c>
      <c r="F71" s="13">
        <f>'1.2'!C71</f>
        <v>2</v>
      </c>
      <c r="G71" s="13">
        <f>'1.3'!C71</f>
        <v>2</v>
      </c>
      <c r="H71" s="13">
        <f>'1.4'!E72</f>
        <v>0</v>
      </c>
      <c r="I71" s="13">
        <f>'1.5'!E72</f>
        <v>0</v>
      </c>
    </row>
    <row r="72" spans="1:9" ht="16" customHeight="1">
      <c r="A72" s="107" t="s">
        <v>58</v>
      </c>
      <c r="B72" s="15">
        <f t="shared" ref="B72:B98" si="8">ROUND(D72/C72*100,1)</f>
        <v>91.7</v>
      </c>
      <c r="C72" s="15">
        <f t="shared" si="1"/>
        <v>12</v>
      </c>
      <c r="D72" s="15">
        <f t="shared" si="7"/>
        <v>11</v>
      </c>
      <c r="E72" s="16">
        <f>'1.1'!F72</f>
        <v>4</v>
      </c>
      <c r="F72" s="13">
        <f>'1.2'!C72</f>
        <v>2</v>
      </c>
      <c r="G72" s="13">
        <f>'1.3'!C72</f>
        <v>2</v>
      </c>
      <c r="H72" s="13">
        <f>'1.4'!E73</f>
        <v>1</v>
      </c>
      <c r="I72" s="13">
        <f>'1.5'!E73</f>
        <v>2</v>
      </c>
    </row>
    <row r="73" spans="1:9" ht="16" customHeight="1">
      <c r="A73" s="107" t="s">
        <v>59</v>
      </c>
      <c r="B73" s="15">
        <f t="shared" si="8"/>
        <v>100</v>
      </c>
      <c r="C73" s="15">
        <f t="shared" ref="C73:C98" si="9">$D$5</f>
        <v>12</v>
      </c>
      <c r="D73" s="15">
        <f t="shared" si="7"/>
        <v>12</v>
      </c>
      <c r="E73" s="16">
        <f>'1.1'!F73</f>
        <v>4</v>
      </c>
      <c r="F73" s="13">
        <f>'1.2'!C73</f>
        <v>2</v>
      </c>
      <c r="G73" s="13">
        <f>'1.3'!C73</f>
        <v>2</v>
      </c>
      <c r="H73" s="13">
        <f>'1.4'!E74</f>
        <v>2</v>
      </c>
      <c r="I73" s="13">
        <f>'1.5'!E74</f>
        <v>2</v>
      </c>
    </row>
    <row r="74" spans="1:9" ht="16" customHeight="1">
      <c r="A74" s="107" t="s">
        <v>551</v>
      </c>
      <c r="B74" s="15">
        <f t="shared" si="8"/>
        <v>100</v>
      </c>
      <c r="C74" s="15">
        <f t="shared" si="9"/>
        <v>12</v>
      </c>
      <c r="D74" s="15">
        <f t="shared" si="7"/>
        <v>12</v>
      </c>
      <c r="E74" s="16">
        <f>'1.1'!F74</f>
        <v>4</v>
      </c>
      <c r="F74" s="13">
        <f>'1.2'!C74</f>
        <v>2</v>
      </c>
      <c r="G74" s="13">
        <f>'1.3'!C74</f>
        <v>2</v>
      </c>
      <c r="H74" s="13">
        <f>'1.4'!E75</f>
        <v>2</v>
      </c>
      <c r="I74" s="13">
        <f>'1.5'!E75</f>
        <v>2</v>
      </c>
    </row>
    <row r="75" spans="1:9" ht="16" customHeight="1">
      <c r="A75" s="107" t="s">
        <v>60</v>
      </c>
      <c r="B75" s="15">
        <f t="shared" si="8"/>
        <v>100</v>
      </c>
      <c r="C75" s="15">
        <f t="shared" si="9"/>
        <v>12</v>
      </c>
      <c r="D75" s="15">
        <f t="shared" si="7"/>
        <v>12</v>
      </c>
      <c r="E75" s="16">
        <f>'1.1'!F75</f>
        <v>4</v>
      </c>
      <c r="F75" s="13">
        <f>'1.2'!C75</f>
        <v>2</v>
      </c>
      <c r="G75" s="13">
        <f>'1.3'!C75</f>
        <v>2</v>
      </c>
      <c r="H75" s="13">
        <f>'1.4'!E76</f>
        <v>2</v>
      </c>
      <c r="I75" s="13">
        <f>'1.5'!E76</f>
        <v>2</v>
      </c>
    </row>
    <row r="76" spans="1:9" ht="16" customHeight="1">
      <c r="A76" s="120" t="s">
        <v>61</v>
      </c>
      <c r="B76" s="24"/>
      <c r="C76" s="24"/>
      <c r="D76" s="24"/>
      <c r="E76" s="25"/>
      <c r="F76" s="26"/>
      <c r="G76" s="26"/>
      <c r="H76" s="26"/>
      <c r="I76" s="26"/>
    </row>
    <row r="77" spans="1:9" ht="16" customHeight="1">
      <c r="A77" s="107" t="s">
        <v>62</v>
      </c>
      <c r="B77" s="15">
        <f t="shared" si="8"/>
        <v>91.7</v>
      </c>
      <c r="C77" s="15">
        <f t="shared" si="9"/>
        <v>12</v>
      </c>
      <c r="D77" s="15">
        <f t="shared" ref="D77:D86" si="10">SUM(E77:I77)</f>
        <v>11</v>
      </c>
      <c r="E77" s="16">
        <f>'1.1'!F77</f>
        <v>4</v>
      </c>
      <c r="F77" s="13">
        <f>'1.2'!C77</f>
        <v>2</v>
      </c>
      <c r="G77" s="13">
        <f>'1.3'!C77</f>
        <v>2</v>
      </c>
      <c r="H77" s="13">
        <f>'1.4'!E78</f>
        <v>1</v>
      </c>
      <c r="I77" s="13">
        <f>'1.5'!E78</f>
        <v>2</v>
      </c>
    </row>
    <row r="78" spans="1:9" ht="16" customHeight="1">
      <c r="A78" s="107" t="s">
        <v>64</v>
      </c>
      <c r="B78" s="15">
        <f t="shared" si="8"/>
        <v>50</v>
      </c>
      <c r="C78" s="15">
        <f t="shared" si="9"/>
        <v>12</v>
      </c>
      <c r="D78" s="15">
        <f t="shared" si="10"/>
        <v>6</v>
      </c>
      <c r="E78" s="16">
        <f>'1.1'!F78</f>
        <v>2</v>
      </c>
      <c r="F78" s="13">
        <f>'1.2'!C78</f>
        <v>2</v>
      </c>
      <c r="G78" s="13">
        <f>'1.3'!C78</f>
        <v>2</v>
      </c>
      <c r="H78" s="13">
        <f>'1.4'!E79</f>
        <v>0</v>
      </c>
      <c r="I78" s="13">
        <f>'1.5'!E79</f>
        <v>0</v>
      </c>
    </row>
    <row r="79" spans="1:9" ht="16" customHeight="1">
      <c r="A79" s="107" t="s">
        <v>65</v>
      </c>
      <c r="B79" s="15">
        <f t="shared" si="8"/>
        <v>100</v>
      </c>
      <c r="C79" s="15">
        <f t="shared" si="9"/>
        <v>12</v>
      </c>
      <c r="D79" s="15">
        <f t="shared" si="10"/>
        <v>12</v>
      </c>
      <c r="E79" s="16">
        <f>'1.1'!F79</f>
        <v>4</v>
      </c>
      <c r="F79" s="13">
        <f>'1.2'!C79</f>
        <v>2</v>
      </c>
      <c r="G79" s="13">
        <f>'1.3'!C79</f>
        <v>2</v>
      </c>
      <c r="H79" s="13">
        <f>'1.4'!E80</f>
        <v>2</v>
      </c>
      <c r="I79" s="13">
        <f>'1.5'!E80</f>
        <v>2</v>
      </c>
    </row>
    <row r="80" spans="1:9" ht="16" customHeight="1">
      <c r="A80" s="107" t="s">
        <v>66</v>
      </c>
      <c r="B80" s="15">
        <f t="shared" si="8"/>
        <v>58.3</v>
      </c>
      <c r="C80" s="15">
        <f t="shared" si="9"/>
        <v>12</v>
      </c>
      <c r="D80" s="15">
        <f t="shared" si="10"/>
        <v>7</v>
      </c>
      <c r="E80" s="16">
        <f>'1.1'!F80</f>
        <v>4</v>
      </c>
      <c r="F80" s="13">
        <f>'1.2'!C80</f>
        <v>0</v>
      </c>
      <c r="G80" s="13">
        <f>'1.3'!C80</f>
        <v>2</v>
      </c>
      <c r="H80" s="13">
        <f>'1.4'!E81</f>
        <v>0</v>
      </c>
      <c r="I80" s="13">
        <f>'1.5'!E81</f>
        <v>1</v>
      </c>
    </row>
    <row r="81" spans="1:9" ht="16" customHeight="1">
      <c r="A81" s="107" t="s">
        <v>68</v>
      </c>
      <c r="B81" s="15">
        <f t="shared" si="8"/>
        <v>75</v>
      </c>
      <c r="C81" s="15">
        <f t="shared" si="9"/>
        <v>12</v>
      </c>
      <c r="D81" s="15">
        <f t="shared" si="10"/>
        <v>9</v>
      </c>
      <c r="E81" s="16">
        <f>'1.1'!F81</f>
        <v>4</v>
      </c>
      <c r="F81" s="13">
        <f>'1.2'!C81</f>
        <v>2</v>
      </c>
      <c r="G81" s="13">
        <f>'1.3'!C81</f>
        <v>2</v>
      </c>
      <c r="H81" s="13">
        <f>'1.4'!E82</f>
        <v>1</v>
      </c>
      <c r="I81" s="13">
        <f>'1.5'!E82</f>
        <v>0</v>
      </c>
    </row>
    <row r="82" spans="1:9" ht="16" customHeight="1">
      <c r="A82" s="107" t="s">
        <v>69</v>
      </c>
      <c r="B82" s="15">
        <f t="shared" si="8"/>
        <v>100</v>
      </c>
      <c r="C82" s="15">
        <f t="shared" si="9"/>
        <v>12</v>
      </c>
      <c r="D82" s="15">
        <f t="shared" si="10"/>
        <v>12</v>
      </c>
      <c r="E82" s="16">
        <f>'1.1'!F82</f>
        <v>4</v>
      </c>
      <c r="F82" s="13">
        <f>'1.2'!C82</f>
        <v>2</v>
      </c>
      <c r="G82" s="13">
        <f>'1.3'!C82</f>
        <v>2</v>
      </c>
      <c r="H82" s="13">
        <f>'1.4'!E83</f>
        <v>2</v>
      </c>
      <c r="I82" s="13">
        <f>'1.5'!E83</f>
        <v>2</v>
      </c>
    </row>
    <row r="83" spans="1:9" ht="16" customHeight="1">
      <c r="A83" s="107" t="s">
        <v>552</v>
      </c>
      <c r="B83" s="15">
        <f t="shared" si="8"/>
        <v>100</v>
      </c>
      <c r="C83" s="15">
        <f t="shared" si="9"/>
        <v>12</v>
      </c>
      <c r="D83" s="15">
        <f t="shared" si="10"/>
        <v>12</v>
      </c>
      <c r="E83" s="16">
        <f>'1.1'!F83</f>
        <v>4</v>
      </c>
      <c r="F83" s="13">
        <f>'1.2'!C83</f>
        <v>2</v>
      </c>
      <c r="G83" s="13">
        <f>'1.3'!C83</f>
        <v>2</v>
      </c>
      <c r="H83" s="13">
        <f>'1.4'!E84</f>
        <v>2</v>
      </c>
      <c r="I83" s="13">
        <f>'1.5'!E84</f>
        <v>2</v>
      </c>
    </row>
    <row r="84" spans="1:9" ht="16" customHeight="1">
      <c r="A84" s="107" t="s">
        <v>70</v>
      </c>
      <c r="B84" s="15">
        <f t="shared" si="8"/>
        <v>75</v>
      </c>
      <c r="C84" s="15">
        <f t="shared" si="9"/>
        <v>12</v>
      </c>
      <c r="D84" s="15">
        <f t="shared" si="10"/>
        <v>9</v>
      </c>
      <c r="E84" s="16">
        <f>'1.1'!F84</f>
        <v>4</v>
      </c>
      <c r="F84" s="13">
        <f>'1.2'!C84</f>
        <v>0</v>
      </c>
      <c r="G84" s="13">
        <f>'1.3'!C84</f>
        <v>2</v>
      </c>
      <c r="H84" s="13">
        <f>'1.4'!E85</f>
        <v>1</v>
      </c>
      <c r="I84" s="13">
        <f>'1.5'!E85</f>
        <v>2</v>
      </c>
    </row>
    <row r="85" spans="1:9" ht="16" customHeight="1">
      <c r="A85" s="107" t="s">
        <v>71</v>
      </c>
      <c r="B85" s="15">
        <f t="shared" si="8"/>
        <v>83.3</v>
      </c>
      <c r="C85" s="15">
        <f t="shared" si="9"/>
        <v>12</v>
      </c>
      <c r="D85" s="15">
        <f t="shared" si="10"/>
        <v>10</v>
      </c>
      <c r="E85" s="16">
        <f>'1.1'!F85</f>
        <v>4</v>
      </c>
      <c r="F85" s="13">
        <f>'1.2'!C85</f>
        <v>2</v>
      </c>
      <c r="G85" s="13">
        <f>'1.3'!C85</f>
        <v>2</v>
      </c>
      <c r="H85" s="13">
        <f>'1.4'!E86</f>
        <v>2</v>
      </c>
      <c r="I85" s="13">
        <f>'1.5'!E86</f>
        <v>0</v>
      </c>
    </row>
    <row r="86" spans="1:9" ht="16" customHeight="1">
      <c r="A86" s="107" t="s">
        <v>72</v>
      </c>
      <c r="B86" s="15">
        <f t="shared" si="8"/>
        <v>75</v>
      </c>
      <c r="C86" s="15">
        <f t="shared" si="9"/>
        <v>12</v>
      </c>
      <c r="D86" s="15">
        <f t="shared" si="10"/>
        <v>9</v>
      </c>
      <c r="E86" s="16">
        <f>'1.1'!F86</f>
        <v>4</v>
      </c>
      <c r="F86" s="13">
        <f>'1.2'!C86</f>
        <v>0</v>
      </c>
      <c r="G86" s="13">
        <f>'1.3'!C86</f>
        <v>2</v>
      </c>
      <c r="H86" s="13">
        <f>'1.4'!E87</f>
        <v>1</v>
      </c>
      <c r="I86" s="13">
        <f>'1.5'!E87</f>
        <v>2</v>
      </c>
    </row>
    <row r="87" spans="1:9" ht="16" customHeight="1">
      <c r="A87" s="120" t="s">
        <v>73</v>
      </c>
      <c r="B87" s="24"/>
      <c r="C87" s="24"/>
      <c r="D87" s="24"/>
      <c r="E87" s="25"/>
      <c r="F87" s="26"/>
      <c r="G87" s="26"/>
      <c r="H87" s="26"/>
      <c r="I87" s="26"/>
    </row>
    <row r="88" spans="1:9" ht="16" customHeight="1">
      <c r="A88" s="107" t="s">
        <v>63</v>
      </c>
      <c r="B88" s="15">
        <f t="shared" si="8"/>
        <v>91.7</v>
      </c>
      <c r="C88" s="15">
        <f t="shared" si="9"/>
        <v>12</v>
      </c>
      <c r="D88" s="15">
        <f t="shared" ref="D88:D98" si="11">SUM(E88:I88)</f>
        <v>11</v>
      </c>
      <c r="E88" s="16">
        <f>'1.1'!F88</f>
        <v>4</v>
      </c>
      <c r="F88" s="13">
        <f>'1.2'!C88</f>
        <v>2</v>
      </c>
      <c r="G88" s="13">
        <f>'1.3'!C88</f>
        <v>2</v>
      </c>
      <c r="H88" s="13">
        <f>'1.4'!E89</f>
        <v>1</v>
      </c>
      <c r="I88" s="13">
        <f>'1.5'!E89</f>
        <v>2</v>
      </c>
    </row>
    <row r="89" spans="1:9" ht="16" customHeight="1">
      <c r="A89" s="107" t="s">
        <v>74</v>
      </c>
      <c r="B89" s="15">
        <f t="shared" si="8"/>
        <v>66.7</v>
      </c>
      <c r="C89" s="15">
        <f t="shared" si="9"/>
        <v>12</v>
      </c>
      <c r="D89" s="15">
        <f t="shared" si="11"/>
        <v>8</v>
      </c>
      <c r="E89" s="16">
        <f>'1.1'!F89</f>
        <v>4</v>
      </c>
      <c r="F89" s="13">
        <f>'1.2'!C89</f>
        <v>2</v>
      </c>
      <c r="G89" s="13">
        <f>'1.3'!C89</f>
        <v>2</v>
      </c>
      <c r="H89" s="13">
        <f>'1.4'!E90</f>
        <v>0</v>
      </c>
      <c r="I89" s="13">
        <f>'1.5'!E90</f>
        <v>0</v>
      </c>
    </row>
    <row r="90" spans="1:9" ht="16" customHeight="1">
      <c r="A90" s="107" t="s">
        <v>67</v>
      </c>
      <c r="B90" s="15">
        <f t="shared" si="8"/>
        <v>75</v>
      </c>
      <c r="C90" s="15">
        <f t="shared" si="9"/>
        <v>12</v>
      </c>
      <c r="D90" s="15">
        <f t="shared" si="11"/>
        <v>9</v>
      </c>
      <c r="E90" s="16">
        <f>'1.1'!F90</f>
        <v>4</v>
      </c>
      <c r="F90" s="13">
        <f>'1.2'!C90</f>
        <v>0</v>
      </c>
      <c r="G90" s="13">
        <f>'1.3'!C90</f>
        <v>2</v>
      </c>
      <c r="H90" s="13">
        <f>'1.4'!E91</f>
        <v>2</v>
      </c>
      <c r="I90" s="13">
        <f>'1.5'!E91</f>
        <v>1</v>
      </c>
    </row>
    <row r="91" spans="1:9" ht="16" customHeight="1">
      <c r="A91" s="107" t="s">
        <v>75</v>
      </c>
      <c r="B91" s="15">
        <f t="shared" si="8"/>
        <v>91.7</v>
      </c>
      <c r="C91" s="15">
        <f t="shared" si="9"/>
        <v>12</v>
      </c>
      <c r="D91" s="15">
        <f t="shared" si="11"/>
        <v>11</v>
      </c>
      <c r="E91" s="16">
        <f>'1.1'!F91</f>
        <v>4</v>
      </c>
      <c r="F91" s="13">
        <f>'1.2'!C91</f>
        <v>2</v>
      </c>
      <c r="G91" s="13">
        <f>'1.3'!C91</f>
        <v>2</v>
      </c>
      <c r="H91" s="13">
        <f>'1.4'!E92</f>
        <v>1</v>
      </c>
      <c r="I91" s="13">
        <f>'1.5'!E92</f>
        <v>2</v>
      </c>
    </row>
    <row r="92" spans="1:9" ht="16" customHeight="1">
      <c r="A92" s="107" t="s">
        <v>553</v>
      </c>
      <c r="B92" s="15">
        <f t="shared" si="8"/>
        <v>100</v>
      </c>
      <c r="C92" s="15">
        <f t="shared" si="9"/>
        <v>12</v>
      </c>
      <c r="D92" s="15">
        <f t="shared" si="11"/>
        <v>12</v>
      </c>
      <c r="E92" s="16">
        <f>'1.1'!F92</f>
        <v>4</v>
      </c>
      <c r="F92" s="13">
        <f>'1.2'!C92</f>
        <v>2</v>
      </c>
      <c r="G92" s="13">
        <f>'1.3'!C92</f>
        <v>2</v>
      </c>
      <c r="H92" s="13">
        <f>'1.4'!E93</f>
        <v>2</v>
      </c>
      <c r="I92" s="13">
        <f>'1.5'!E93</f>
        <v>2</v>
      </c>
    </row>
    <row r="93" spans="1:9" ht="16" customHeight="1">
      <c r="A93" s="107" t="s">
        <v>76</v>
      </c>
      <c r="B93" s="15">
        <f t="shared" si="8"/>
        <v>83.3</v>
      </c>
      <c r="C93" s="15">
        <f t="shared" si="9"/>
        <v>12</v>
      </c>
      <c r="D93" s="15">
        <f t="shared" si="11"/>
        <v>10</v>
      </c>
      <c r="E93" s="16">
        <f>'1.1'!F93</f>
        <v>4</v>
      </c>
      <c r="F93" s="13">
        <f>'1.2'!C93</f>
        <v>2</v>
      </c>
      <c r="G93" s="13">
        <f>'1.3'!C93</f>
        <v>2</v>
      </c>
      <c r="H93" s="13">
        <f>'1.4'!E94</f>
        <v>2</v>
      </c>
      <c r="I93" s="13">
        <f>'1.5'!E94</f>
        <v>0</v>
      </c>
    </row>
    <row r="94" spans="1:9" ht="16" customHeight="1">
      <c r="A94" s="107" t="s">
        <v>77</v>
      </c>
      <c r="B94" s="15">
        <f t="shared" si="8"/>
        <v>91.7</v>
      </c>
      <c r="C94" s="15">
        <f t="shared" si="9"/>
        <v>12</v>
      </c>
      <c r="D94" s="15">
        <f t="shared" si="11"/>
        <v>11</v>
      </c>
      <c r="E94" s="16">
        <f>'1.1'!F94</f>
        <v>4</v>
      </c>
      <c r="F94" s="13">
        <f>'1.2'!C94</f>
        <v>2</v>
      </c>
      <c r="G94" s="13">
        <f>'1.3'!C94</f>
        <v>2</v>
      </c>
      <c r="H94" s="13">
        <f>'1.4'!E95</f>
        <v>1</v>
      </c>
      <c r="I94" s="13">
        <f>'1.5'!E95</f>
        <v>2</v>
      </c>
    </row>
    <row r="95" spans="1:9" ht="16" customHeight="1">
      <c r="A95" s="107" t="s">
        <v>78</v>
      </c>
      <c r="B95" s="15">
        <f t="shared" si="8"/>
        <v>75</v>
      </c>
      <c r="C95" s="15">
        <f t="shared" si="9"/>
        <v>12</v>
      </c>
      <c r="D95" s="15">
        <f t="shared" si="11"/>
        <v>9</v>
      </c>
      <c r="E95" s="16">
        <f>'1.1'!F95</f>
        <v>4</v>
      </c>
      <c r="F95" s="13">
        <f>'1.2'!C95</f>
        <v>2</v>
      </c>
      <c r="G95" s="13">
        <f>'1.3'!C95</f>
        <v>2</v>
      </c>
      <c r="H95" s="13">
        <f>'1.4'!E96</f>
        <v>1</v>
      </c>
      <c r="I95" s="13">
        <f>'1.5'!E96</f>
        <v>0</v>
      </c>
    </row>
    <row r="96" spans="1:9" ht="16" customHeight="1">
      <c r="A96" s="107" t="s">
        <v>79</v>
      </c>
      <c r="B96" s="15">
        <f t="shared" si="8"/>
        <v>100</v>
      </c>
      <c r="C96" s="15">
        <f t="shared" si="9"/>
        <v>12</v>
      </c>
      <c r="D96" s="15">
        <f t="shared" si="11"/>
        <v>12</v>
      </c>
      <c r="E96" s="16">
        <f>'1.1'!F96</f>
        <v>4</v>
      </c>
      <c r="F96" s="13">
        <f>'1.2'!C96</f>
        <v>2</v>
      </c>
      <c r="G96" s="13">
        <f>'1.3'!C96</f>
        <v>2</v>
      </c>
      <c r="H96" s="13">
        <f>'1.4'!E97</f>
        <v>2</v>
      </c>
      <c r="I96" s="13">
        <f>'1.5'!E97</f>
        <v>2</v>
      </c>
    </row>
    <row r="97" spans="1:9" ht="16" customHeight="1">
      <c r="A97" s="107" t="s">
        <v>80</v>
      </c>
      <c r="B97" s="15">
        <f t="shared" si="8"/>
        <v>83.3</v>
      </c>
      <c r="C97" s="15">
        <f t="shared" si="9"/>
        <v>12</v>
      </c>
      <c r="D97" s="15">
        <f t="shared" si="11"/>
        <v>10</v>
      </c>
      <c r="E97" s="16">
        <f>'1.1'!F97</f>
        <v>2</v>
      </c>
      <c r="F97" s="13">
        <f>'1.2'!C97</f>
        <v>2</v>
      </c>
      <c r="G97" s="13">
        <f>'1.3'!C97</f>
        <v>2</v>
      </c>
      <c r="H97" s="13">
        <f>'1.4'!E98</f>
        <v>2</v>
      </c>
      <c r="I97" s="13">
        <f>'1.5'!E98</f>
        <v>2</v>
      </c>
    </row>
    <row r="98" spans="1:9" ht="16" customHeight="1">
      <c r="A98" s="107" t="s">
        <v>81</v>
      </c>
      <c r="B98" s="15">
        <f t="shared" si="8"/>
        <v>83.3</v>
      </c>
      <c r="C98" s="15">
        <f t="shared" si="9"/>
        <v>12</v>
      </c>
      <c r="D98" s="15">
        <f t="shared" si="11"/>
        <v>10</v>
      </c>
      <c r="E98" s="16">
        <f>'1.1'!F98</f>
        <v>2</v>
      </c>
      <c r="F98" s="13">
        <f>'1.2'!C98</f>
        <v>2</v>
      </c>
      <c r="G98" s="13">
        <f>'1.3'!C98</f>
        <v>2</v>
      </c>
      <c r="H98" s="13">
        <f>'1.4'!E99</f>
        <v>2</v>
      </c>
      <c r="I98" s="13">
        <f>'1.5'!E99</f>
        <v>2</v>
      </c>
    </row>
    <row r="99" spans="1:9">
      <c r="A99" s="29" t="s">
        <v>671</v>
      </c>
      <c r="D99" s="27"/>
    </row>
  </sheetData>
  <pageMargins left="0.70866141732283505" right="0.70866141732283505" top="0.74803149606299202" bottom="0.74803149606299202" header="0.31496062992126" footer="0.31496062992126"/>
  <pageSetup paperSize="9" scale="70" fitToHeight="0" orientation="landscape" r:id="rId1"/>
  <headerFooter scaleWithDoc="0">
    <oddFooter>&amp;C&amp;"Times New Roman,обычный"&amp;A&amp;R&amp;P</oddFooter>
  </headerFooter>
  <ignoredErrors>
    <ignoredError sqref="C35"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36"/>
  <sheetViews>
    <sheetView zoomScaleNormal="100" workbookViewId="0">
      <selection sqref="A1:E1"/>
    </sheetView>
  </sheetViews>
  <sheetFormatPr baseColWidth="10" defaultColWidth="8.83203125" defaultRowHeight="15"/>
  <cols>
    <col min="1" max="1" width="5.6640625" style="8" customWidth="1"/>
    <col min="2" max="2" width="127.1640625" customWidth="1"/>
    <col min="3" max="3" width="9.6640625" customWidth="1"/>
    <col min="4" max="4" width="11.5" customWidth="1"/>
    <col min="5" max="5" width="10.83203125" customWidth="1"/>
  </cols>
  <sheetData>
    <row r="1" spans="1:5" ht="23" customHeight="1">
      <c r="A1" s="255" t="s">
        <v>429</v>
      </c>
      <c r="B1" s="256"/>
      <c r="C1" s="256"/>
      <c r="D1" s="256"/>
      <c r="E1" s="256"/>
    </row>
    <row r="2" spans="1:5" ht="30" customHeight="1">
      <c r="A2" s="257" t="s">
        <v>106</v>
      </c>
      <c r="B2" s="258" t="s">
        <v>84</v>
      </c>
      <c r="C2" s="258" t="s">
        <v>85</v>
      </c>
      <c r="D2" s="258" t="s">
        <v>86</v>
      </c>
      <c r="E2" s="258"/>
    </row>
    <row r="3" spans="1:5">
      <c r="A3" s="257"/>
      <c r="B3" s="258"/>
      <c r="C3" s="258"/>
      <c r="D3" s="152" t="s">
        <v>90</v>
      </c>
      <c r="E3" s="152" t="s">
        <v>107</v>
      </c>
    </row>
    <row r="4" spans="1:5" ht="17" customHeight="1">
      <c r="A4" s="253">
        <v>1</v>
      </c>
      <c r="B4" s="153" t="s">
        <v>138</v>
      </c>
      <c r="C4" s="254">
        <v>12</v>
      </c>
      <c r="D4" s="254"/>
      <c r="E4" s="254"/>
    </row>
    <row r="5" spans="1:5" ht="30">
      <c r="A5" s="253"/>
      <c r="B5" s="154" t="s">
        <v>406</v>
      </c>
      <c r="C5" s="254"/>
      <c r="D5" s="254"/>
      <c r="E5" s="254"/>
    </row>
    <row r="6" spans="1:5" ht="30">
      <c r="A6" s="253" t="s">
        <v>93</v>
      </c>
      <c r="B6" s="153" t="s">
        <v>407</v>
      </c>
      <c r="C6" s="252"/>
      <c r="D6" s="252"/>
      <c r="E6" s="252"/>
    </row>
    <row r="7" spans="1:5" ht="45">
      <c r="A7" s="253"/>
      <c r="B7" s="154" t="s">
        <v>408</v>
      </c>
      <c r="C7" s="252"/>
      <c r="D7" s="252"/>
      <c r="E7" s="252"/>
    </row>
    <row r="8" spans="1:5" ht="30">
      <c r="A8" s="253"/>
      <c r="B8" s="154" t="s">
        <v>137</v>
      </c>
      <c r="C8" s="252"/>
      <c r="D8" s="252"/>
      <c r="E8" s="252"/>
    </row>
    <row r="9" spans="1:5" ht="30">
      <c r="A9" s="253"/>
      <c r="B9" s="154" t="s">
        <v>409</v>
      </c>
      <c r="C9" s="252"/>
      <c r="D9" s="252"/>
      <c r="E9" s="252"/>
    </row>
    <row r="10" spans="1:5">
      <c r="A10" s="155"/>
      <c r="B10" s="156" t="s">
        <v>108</v>
      </c>
      <c r="C10" s="157">
        <v>4</v>
      </c>
      <c r="D10" s="157">
        <v>0.5</v>
      </c>
      <c r="E10" s="157">
        <v>0.5</v>
      </c>
    </row>
    <row r="11" spans="1:5">
      <c r="A11" s="155"/>
      <c r="B11" s="156" t="s">
        <v>109</v>
      </c>
      <c r="C11" s="157">
        <v>0</v>
      </c>
      <c r="D11" s="157"/>
      <c r="E11" s="157"/>
    </row>
    <row r="12" spans="1:5" ht="30">
      <c r="A12" s="253" t="s">
        <v>94</v>
      </c>
      <c r="B12" s="153" t="s">
        <v>410</v>
      </c>
      <c r="C12" s="252"/>
      <c r="D12" s="252"/>
      <c r="E12" s="252"/>
    </row>
    <row r="13" spans="1:5" ht="58.5" customHeight="1">
      <c r="A13" s="253"/>
      <c r="B13" s="154" t="s">
        <v>411</v>
      </c>
      <c r="C13" s="252"/>
      <c r="D13" s="252"/>
      <c r="E13" s="252"/>
    </row>
    <row r="14" spans="1:5">
      <c r="A14" s="158"/>
      <c r="B14" s="156" t="s">
        <v>92</v>
      </c>
      <c r="C14" s="157">
        <v>2</v>
      </c>
      <c r="D14" s="157"/>
      <c r="E14" s="157"/>
    </row>
    <row r="15" spans="1:5">
      <c r="A15" s="158"/>
      <c r="B15" s="156" t="s">
        <v>91</v>
      </c>
      <c r="C15" s="157">
        <v>0</v>
      </c>
      <c r="D15" s="157"/>
      <c r="E15" s="157"/>
    </row>
    <row r="16" spans="1:5" ht="30">
      <c r="A16" s="155" t="s">
        <v>95</v>
      </c>
      <c r="B16" s="153" t="s">
        <v>412</v>
      </c>
      <c r="C16" s="157"/>
      <c r="D16" s="157"/>
      <c r="E16" s="157"/>
    </row>
    <row r="17" spans="1:5">
      <c r="A17" s="155"/>
      <c r="B17" s="156" t="s">
        <v>92</v>
      </c>
      <c r="C17" s="157">
        <v>2</v>
      </c>
      <c r="D17" s="157"/>
      <c r="E17" s="157"/>
    </row>
    <row r="18" spans="1:5">
      <c r="A18" s="155"/>
      <c r="B18" s="156" t="s">
        <v>101</v>
      </c>
      <c r="C18" s="157">
        <v>0</v>
      </c>
      <c r="D18" s="157"/>
      <c r="E18" s="157"/>
    </row>
    <row r="19" spans="1:5" ht="45">
      <c r="A19" s="253" t="s">
        <v>96</v>
      </c>
      <c r="B19" s="153" t="s">
        <v>413</v>
      </c>
      <c r="C19" s="252"/>
      <c r="D19" s="252"/>
      <c r="E19" s="252"/>
    </row>
    <row r="20" spans="1:5" ht="72" customHeight="1">
      <c r="A20" s="253"/>
      <c r="B20" s="154" t="s">
        <v>414</v>
      </c>
      <c r="C20" s="252"/>
      <c r="D20" s="252"/>
      <c r="E20" s="252"/>
    </row>
    <row r="21" spans="1:5" ht="45">
      <c r="A21" s="253"/>
      <c r="B21" s="154" t="s">
        <v>213</v>
      </c>
      <c r="C21" s="252"/>
      <c r="D21" s="252"/>
      <c r="E21" s="252"/>
    </row>
    <row r="22" spans="1:5" ht="45">
      <c r="A22" s="253"/>
      <c r="B22" s="159" t="s">
        <v>415</v>
      </c>
      <c r="C22" s="252"/>
      <c r="D22" s="252"/>
      <c r="E22" s="252"/>
    </row>
    <row r="23" spans="1:5" ht="45" customHeight="1">
      <c r="A23" s="253"/>
      <c r="B23" s="154" t="s">
        <v>416</v>
      </c>
      <c r="C23" s="252"/>
      <c r="D23" s="252"/>
      <c r="E23" s="252"/>
    </row>
    <row r="24" spans="1:5" ht="72" customHeight="1">
      <c r="A24" s="253"/>
      <c r="B24" s="154" t="s">
        <v>417</v>
      </c>
      <c r="C24" s="157"/>
      <c r="D24" s="157"/>
      <c r="E24" s="157"/>
    </row>
    <row r="25" spans="1:5" ht="30">
      <c r="A25" s="155"/>
      <c r="B25" s="156" t="s">
        <v>418</v>
      </c>
      <c r="C25" s="157">
        <v>2</v>
      </c>
      <c r="D25" s="157">
        <v>0.5</v>
      </c>
      <c r="E25" s="157"/>
    </row>
    <row r="26" spans="1:5" ht="30">
      <c r="A26" s="155"/>
      <c r="B26" s="156" t="s">
        <v>419</v>
      </c>
      <c r="C26" s="157">
        <v>1</v>
      </c>
      <c r="D26" s="157">
        <v>0.5</v>
      </c>
      <c r="E26" s="157"/>
    </row>
    <row r="27" spans="1:5">
      <c r="A27" s="155"/>
      <c r="B27" s="156" t="s">
        <v>212</v>
      </c>
      <c r="C27" s="157">
        <v>0</v>
      </c>
      <c r="D27" s="157"/>
      <c r="E27" s="157"/>
    </row>
    <row r="28" spans="1:5" ht="45">
      <c r="A28" s="249" t="s">
        <v>97</v>
      </c>
      <c r="B28" s="153" t="s">
        <v>420</v>
      </c>
      <c r="C28" s="160"/>
      <c r="D28" s="160"/>
      <c r="E28" s="160"/>
    </row>
    <row r="29" spans="1:5" ht="72" customHeight="1">
      <c r="A29" s="250"/>
      <c r="B29" s="154" t="s">
        <v>421</v>
      </c>
      <c r="C29" s="160"/>
      <c r="D29" s="160"/>
      <c r="E29" s="160"/>
    </row>
    <row r="30" spans="1:5" ht="45">
      <c r="A30" s="250"/>
      <c r="B30" s="154" t="s">
        <v>422</v>
      </c>
      <c r="C30" s="160"/>
      <c r="D30" s="160"/>
      <c r="E30" s="160"/>
    </row>
    <row r="31" spans="1:5" ht="30">
      <c r="A31" s="250"/>
      <c r="B31" s="161" t="s">
        <v>423</v>
      </c>
      <c r="C31" s="160"/>
      <c r="D31" s="160"/>
      <c r="E31" s="160"/>
    </row>
    <row r="32" spans="1:5" ht="87" customHeight="1">
      <c r="A32" s="250"/>
      <c r="B32" s="161" t="s">
        <v>424</v>
      </c>
      <c r="C32" s="160"/>
      <c r="D32" s="160"/>
      <c r="E32" s="160"/>
    </row>
    <row r="33" spans="1:5" ht="45">
      <c r="A33" s="251"/>
      <c r="B33" s="161" t="s">
        <v>425</v>
      </c>
      <c r="C33" s="160"/>
      <c r="D33" s="160"/>
      <c r="E33" s="160"/>
    </row>
    <row r="34" spans="1:5">
      <c r="A34" s="158"/>
      <c r="B34" s="156" t="s">
        <v>426</v>
      </c>
      <c r="C34" s="157">
        <v>2</v>
      </c>
      <c r="D34" s="157">
        <v>0.5</v>
      </c>
      <c r="E34" s="157"/>
    </row>
    <row r="35" spans="1:5">
      <c r="A35" s="158"/>
      <c r="B35" s="156" t="s">
        <v>427</v>
      </c>
      <c r="C35" s="157">
        <v>1</v>
      </c>
      <c r="D35" s="157">
        <v>0.5</v>
      </c>
      <c r="E35" s="157"/>
    </row>
    <row r="36" spans="1:5">
      <c r="A36" s="158"/>
      <c r="B36" s="156" t="s">
        <v>428</v>
      </c>
      <c r="C36" s="157">
        <v>0</v>
      </c>
      <c r="D36" s="157"/>
      <c r="E36" s="157"/>
    </row>
  </sheetData>
  <mergeCells count="22">
    <mergeCell ref="A1:E1"/>
    <mergeCell ref="A2:A3"/>
    <mergeCell ref="B2:B3"/>
    <mergeCell ref="C2:C3"/>
    <mergeCell ref="D2:E2"/>
    <mergeCell ref="A4:A5"/>
    <mergeCell ref="E12:E13"/>
    <mergeCell ref="C4:C5"/>
    <mergeCell ref="D4:D5"/>
    <mergeCell ref="E4:E5"/>
    <mergeCell ref="A6:A9"/>
    <mergeCell ref="C6:C9"/>
    <mergeCell ref="D6:D9"/>
    <mergeCell ref="E6:E9"/>
    <mergeCell ref="A28:A33"/>
    <mergeCell ref="E19:E23"/>
    <mergeCell ref="C19:C23"/>
    <mergeCell ref="D19:D23"/>
    <mergeCell ref="A12:A13"/>
    <mergeCell ref="C12:C13"/>
    <mergeCell ref="D12:D13"/>
    <mergeCell ref="A19:A24"/>
  </mergeCells>
  <pageMargins left="0.70866141732283472" right="0.70866141732283472" top="0.74803149606299213" bottom="0.74803149606299213" header="0.31496062992125984" footer="0.31496062992125984"/>
  <pageSetup paperSize="9" scale="76" fitToHeight="0" orientation="landscape" r:id="rId1"/>
  <headerFooter>
    <oddFooter>&amp;C&amp;A&amp;R&amp;P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A560B-D87C-2A4B-8EC8-F5CCC50906C2}">
  <dimension ref="A1:Q99"/>
  <sheetViews>
    <sheetView zoomScaleNormal="100" zoomScaleSheetLayoutView="80" workbookViewId="0">
      <pane ySplit="6" topLeftCell="A7" activePane="bottomLeft" state="frozen"/>
      <selection activeCell="G33" sqref="G33:G2385"/>
      <selection pane="bottomLeft"/>
    </sheetView>
  </sheetViews>
  <sheetFormatPr baseColWidth="10" defaultColWidth="8.83203125" defaultRowHeight="15"/>
  <cols>
    <col min="1" max="1" width="24.83203125" style="3" customWidth="1"/>
    <col min="2" max="2" width="31.5" style="72" customWidth="1"/>
    <col min="3" max="3" width="5.5" style="73" customWidth="1"/>
    <col min="4" max="5" width="4.5" style="73" customWidth="1"/>
    <col min="6" max="6" width="5.5" style="61" customWidth="1"/>
    <col min="7" max="7" width="12.33203125" style="74" customWidth="1"/>
    <col min="8" max="9" width="10.5" style="61" customWidth="1"/>
    <col min="10" max="10" width="11.6640625" style="61" customWidth="1"/>
    <col min="11" max="11" width="11.1640625" style="61" customWidth="1"/>
    <col min="12" max="12" width="10.5" style="61" customWidth="1"/>
    <col min="13" max="13" width="11.1640625" style="61" customWidth="1"/>
    <col min="14" max="14" width="15.5" style="61" customWidth="1"/>
    <col min="15" max="15" width="20.5" style="61" customWidth="1"/>
    <col min="16" max="16" width="20.5" style="14" customWidth="1"/>
    <col min="17" max="17" width="8.83203125" style="70"/>
    <col min="253" max="253" width="24.83203125" customWidth="1"/>
    <col min="254" max="254" width="33" customWidth="1"/>
    <col min="255" max="255" width="5.5" customWidth="1"/>
    <col min="256" max="257" width="4.5" customWidth="1"/>
    <col min="258" max="258" width="5.5" customWidth="1"/>
    <col min="259" max="259" width="12.33203125" customWidth="1"/>
    <col min="260" max="261" width="10.5" customWidth="1"/>
    <col min="262" max="262" width="11.6640625" customWidth="1"/>
    <col min="263" max="263" width="11.1640625" customWidth="1"/>
    <col min="264" max="264" width="10.5" customWidth="1"/>
    <col min="265" max="265" width="11.1640625" customWidth="1"/>
    <col min="266" max="266" width="15.5" customWidth="1"/>
    <col min="267" max="268" width="20.5" customWidth="1"/>
    <col min="509" max="509" width="24.83203125" customWidth="1"/>
    <col min="510" max="510" width="33" customWidth="1"/>
    <col min="511" max="511" width="5.5" customWidth="1"/>
    <col min="512" max="513" width="4.5" customWidth="1"/>
    <col min="514" max="514" width="5.5" customWidth="1"/>
    <col min="515" max="515" width="12.33203125" customWidth="1"/>
    <col min="516" max="517" width="10.5" customWidth="1"/>
    <col min="518" max="518" width="11.6640625" customWidth="1"/>
    <col min="519" max="519" width="11.1640625" customWidth="1"/>
    <col min="520" max="520" width="10.5" customWidth="1"/>
    <col min="521" max="521" width="11.1640625" customWidth="1"/>
    <col min="522" max="522" width="15.5" customWidth="1"/>
    <col min="523" max="524" width="20.5" customWidth="1"/>
    <col min="765" max="765" width="24.83203125" customWidth="1"/>
    <col min="766" max="766" width="33" customWidth="1"/>
    <col min="767" max="767" width="5.5" customWidth="1"/>
    <col min="768" max="769" width="4.5" customWidth="1"/>
    <col min="770" max="770" width="5.5" customWidth="1"/>
    <col min="771" max="771" width="12.33203125" customWidth="1"/>
    <col min="772" max="773" width="10.5" customWidth="1"/>
    <col min="774" max="774" width="11.6640625" customWidth="1"/>
    <col min="775" max="775" width="11.1640625" customWidth="1"/>
    <col min="776" max="776" width="10.5" customWidth="1"/>
    <col min="777" max="777" width="11.1640625" customWidth="1"/>
    <col min="778" max="778" width="15.5" customWidth="1"/>
    <col min="779" max="780" width="20.5" customWidth="1"/>
    <col min="1021" max="1021" width="24.83203125" customWidth="1"/>
    <col min="1022" max="1022" width="33" customWidth="1"/>
    <col min="1023" max="1023" width="5.5" customWidth="1"/>
    <col min="1024" max="1025" width="4.5" customWidth="1"/>
    <col min="1026" max="1026" width="5.5" customWidth="1"/>
    <col min="1027" max="1027" width="12.33203125" customWidth="1"/>
    <col min="1028" max="1029" width="10.5" customWidth="1"/>
    <col min="1030" max="1030" width="11.6640625" customWidth="1"/>
    <col min="1031" max="1031" width="11.1640625" customWidth="1"/>
    <col min="1032" max="1032" width="10.5" customWidth="1"/>
    <col min="1033" max="1033" width="11.1640625" customWidth="1"/>
    <col min="1034" max="1034" width="15.5" customWidth="1"/>
    <col min="1035" max="1036" width="20.5" customWidth="1"/>
    <col min="1277" max="1277" width="24.83203125" customWidth="1"/>
    <col min="1278" max="1278" width="33" customWidth="1"/>
    <col min="1279" max="1279" width="5.5" customWidth="1"/>
    <col min="1280" max="1281" width="4.5" customWidth="1"/>
    <col min="1282" max="1282" width="5.5" customWidth="1"/>
    <col min="1283" max="1283" width="12.33203125" customWidth="1"/>
    <col min="1284" max="1285" width="10.5" customWidth="1"/>
    <col min="1286" max="1286" width="11.6640625" customWidth="1"/>
    <col min="1287" max="1287" width="11.1640625" customWidth="1"/>
    <col min="1288" max="1288" width="10.5" customWidth="1"/>
    <col min="1289" max="1289" width="11.1640625" customWidth="1"/>
    <col min="1290" max="1290" width="15.5" customWidth="1"/>
    <col min="1291" max="1292" width="20.5" customWidth="1"/>
    <col min="1533" max="1533" width="24.83203125" customWidth="1"/>
    <col min="1534" max="1534" width="33" customWidth="1"/>
    <col min="1535" max="1535" width="5.5" customWidth="1"/>
    <col min="1536" max="1537" width="4.5" customWidth="1"/>
    <col min="1538" max="1538" width="5.5" customWidth="1"/>
    <col min="1539" max="1539" width="12.33203125" customWidth="1"/>
    <col min="1540" max="1541" width="10.5" customWidth="1"/>
    <col min="1542" max="1542" width="11.6640625" customWidth="1"/>
    <col min="1543" max="1543" width="11.1640625" customWidth="1"/>
    <col min="1544" max="1544" width="10.5" customWidth="1"/>
    <col min="1545" max="1545" width="11.1640625" customWidth="1"/>
    <col min="1546" max="1546" width="15.5" customWidth="1"/>
    <col min="1547" max="1548" width="20.5" customWidth="1"/>
    <col min="1789" max="1789" width="24.83203125" customWidth="1"/>
    <col min="1790" max="1790" width="33" customWidth="1"/>
    <col min="1791" max="1791" width="5.5" customWidth="1"/>
    <col min="1792" max="1793" width="4.5" customWidth="1"/>
    <col min="1794" max="1794" width="5.5" customWidth="1"/>
    <col min="1795" max="1795" width="12.33203125" customWidth="1"/>
    <col min="1796" max="1797" width="10.5" customWidth="1"/>
    <col min="1798" max="1798" width="11.6640625" customWidth="1"/>
    <col min="1799" max="1799" width="11.1640625" customWidth="1"/>
    <col min="1800" max="1800" width="10.5" customWidth="1"/>
    <col min="1801" max="1801" width="11.1640625" customWidth="1"/>
    <col min="1802" max="1802" width="15.5" customWidth="1"/>
    <col min="1803" max="1804" width="20.5" customWidth="1"/>
    <col min="2045" max="2045" width="24.83203125" customWidth="1"/>
    <col min="2046" max="2046" width="33" customWidth="1"/>
    <col min="2047" max="2047" width="5.5" customWidth="1"/>
    <col min="2048" max="2049" width="4.5" customWidth="1"/>
    <col min="2050" max="2050" width="5.5" customWidth="1"/>
    <col min="2051" max="2051" width="12.33203125" customWidth="1"/>
    <col min="2052" max="2053" width="10.5" customWidth="1"/>
    <col min="2054" max="2054" width="11.6640625" customWidth="1"/>
    <col min="2055" max="2055" width="11.1640625" customWidth="1"/>
    <col min="2056" max="2056" width="10.5" customWidth="1"/>
    <col min="2057" max="2057" width="11.1640625" customWidth="1"/>
    <col min="2058" max="2058" width="15.5" customWidth="1"/>
    <col min="2059" max="2060" width="20.5" customWidth="1"/>
    <col min="2301" max="2301" width="24.83203125" customWidth="1"/>
    <col min="2302" max="2302" width="33" customWidth="1"/>
    <col min="2303" max="2303" width="5.5" customWidth="1"/>
    <col min="2304" max="2305" width="4.5" customWidth="1"/>
    <col min="2306" max="2306" width="5.5" customWidth="1"/>
    <col min="2307" max="2307" width="12.33203125" customWidth="1"/>
    <col min="2308" max="2309" width="10.5" customWidth="1"/>
    <col min="2310" max="2310" width="11.6640625" customWidth="1"/>
    <col min="2311" max="2311" width="11.1640625" customWidth="1"/>
    <col min="2312" max="2312" width="10.5" customWidth="1"/>
    <col min="2313" max="2313" width="11.1640625" customWidth="1"/>
    <col min="2314" max="2314" width="15.5" customWidth="1"/>
    <col min="2315" max="2316" width="20.5" customWidth="1"/>
    <col min="2557" max="2557" width="24.83203125" customWidth="1"/>
    <col min="2558" max="2558" width="33" customWidth="1"/>
    <col min="2559" max="2559" width="5.5" customWidth="1"/>
    <col min="2560" max="2561" width="4.5" customWidth="1"/>
    <col min="2562" max="2562" width="5.5" customWidth="1"/>
    <col min="2563" max="2563" width="12.33203125" customWidth="1"/>
    <col min="2564" max="2565" width="10.5" customWidth="1"/>
    <col min="2566" max="2566" width="11.6640625" customWidth="1"/>
    <col min="2567" max="2567" width="11.1640625" customWidth="1"/>
    <col min="2568" max="2568" width="10.5" customWidth="1"/>
    <col min="2569" max="2569" width="11.1640625" customWidth="1"/>
    <col min="2570" max="2570" width="15.5" customWidth="1"/>
    <col min="2571" max="2572" width="20.5" customWidth="1"/>
    <col min="2813" max="2813" width="24.83203125" customWidth="1"/>
    <col min="2814" max="2814" width="33" customWidth="1"/>
    <col min="2815" max="2815" width="5.5" customWidth="1"/>
    <col min="2816" max="2817" width="4.5" customWidth="1"/>
    <col min="2818" max="2818" width="5.5" customWidth="1"/>
    <col min="2819" max="2819" width="12.33203125" customWidth="1"/>
    <col min="2820" max="2821" width="10.5" customWidth="1"/>
    <col min="2822" max="2822" width="11.6640625" customWidth="1"/>
    <col min="2823" max="2823" width="11.1640625" customWidth="1"/>
    <col min="2824" max="2824" width="10.5" customWidth="1"/>
    <col min="2825" max="2825" width="11.1640625" customWidth="1"/>
    <col min="2826" max="2826" width="15.5" customWidth="1"/>
    <col min="2827" max="2828" width="20.5" customWidth="1"/>
    <col min="3069" max="3069" width="24.83203125" customWidth="1"/>
    <col min="3070" max="3070" width="33" customWidth="1"/>
    <col min="3071" max="3071" width="5.5" customWidth="1"/>
    <col min="3072" max="3073" width="4.5" customWidth="1"/>
    <col min="3074" max="3074" width="5.5" customWidth="1"/>
    <col min="3075" max="3075" width="12.33203125" customWidth="1"/>
    <col min="3076" max="3077" width="10.5" customWidth="1"/>
    <col min="3078" max="3078" width="11.6640625" customWidth="1"/>
    <col min="3079" max="3079" width="11.1640625" customWidth="1"/>
    <col min="3080" max="3080" width="10.5" customWidth="1"/>
    <col min="3081" max="3081" width="11.1640625" customWidth="1"/>
    <col min="3082" max="3082" width="15.5" customWidth="1"/>
    <col min="3083" max="3084" width="20.5" customWidth="1"/>
    <col min="3325" max="3325" width="24.83203125" customWidth="1"/>
    <col min="3326" max="3326" width="33" customWidth="1"/>
    <col min="3327" max="3327" width="5.5" customWidth="1"/>
    <col min="3328" max="3329" width="4.5" customWidth="1"/>
    <col min="3330" max="3330" width="5.5" customWidth="1"/>
    <col min="3331" max="3331" width="12.33203125" customWidth="1"/>
    <col min="3332" max="3333" width="10.5" customWidth="1"/>
    <col min="3334" max="3334" width="11.6640625" customWidth="1"/>
    <col min="3335" max="3335" width="11.1640625" customWidth="1"/>
    <col min="3336" max="3336" width="10.5" customWidth="1"/>
    <col min="3337" max="3337" width="11.1640625" customWidth="1"/>
    <col min="3338" max="3338" width="15.5" customWidth="1"/>
    <col min="3339" max="3340" width="20.5" customWidth="1"/>
    <col min="3581" max="3581" width="24.83203125" customWidth="1"/>
    <col min="3582" max="3582" width="33" customWidth="1"/>
    <col min="3583" max="3583" width="5.5" customWidth="1"/>
    <col min="3584" max="3585" width="4.5" customWidth="1"/>
    <col min="3586" max="3586" width="5.5" customWidth="1"/>
    <col min="3587" max="3587" width="12.33203125" customWidth="1"/>
    <col min="3588" max="3589" width="10.5" customWidth="1"/>
    <col min="3590" max="3590" width="11.6640625" customWidth="1"/>
    <col min="3591" max="3591" width="11.1640625" customWidth="1"/>
    <col min="3592" max="3592" width="10.5" customWidth="1"/>
    <col min="3593" max="3593" width="11.1640625" customWidth="1"/>
    <col min="3594" max="3594" width="15.5" customWidth="1"/>
    <col min="3595" max="3596" width="20.5" customWidth="1"/>
    <col min="3837" max="3837" width="24.83203125" customWidth="1"/>
    <col min="3838" max="3838" width="33" customWidth="1"/>
    <col min="3839" max="3839" width="5.5" customWidth="1"/>
    <col min="3840" max="3841" width="4.5" customWidth="1"/>
    <col min="3842" max="3842" width="5.5" customWidth="1"/>
    <col min="3843" max="3843" width="12.33203125" customWidth="1"/>
    <col min="3844" max="3845" width="10.5" customWidth="1"/>
    <col min="3846" max="3846" width="11.6640625" customWidth="1"/>
    <col min="3847" max="3847" width="11.1640625" customWidth="1"/>
    <col min="3848" max="3848" width="10.5" customWidth="1"/>
    <col min="3849" max="3849" width="11.1640625" customWidth="1"/>
    <col min="3850" max="3850" width="15.5" customWidth="1"/>
    <col min="3851" max="3852" width="20.5" customWidth="1"/>
    <col min="4093" max="4093" width="24.83203125" customWidth="1"/>
    <col min="4094" max="4094" width="33" customWidth="1"/>
    <col min="4095" max="4095" width="5.5" customWidth="1"/>
    <col min="4096" max="4097" width="4.5" customWidth="1"/>
    <col min="4098" max="4098" width="5.5" customWidth="1"/>
    <col min="4099" max="4099" width="12.33203125" customWidth="1"/>
    <col min="4100" max="4101" width="10.5" customWidth="1"/>
    <col min="4102" max="4102" width="11.6640625" customWidth="1"/>
    <col min="4103" max="4103" width="11.1640625" customWidth="1"/>
    <col min="4104" max="4104" width="10.5" customWidth="1"/>
    <col min="4105" max="4105" width="11.1640625" customWidth="1"/>
    <col min="4106" max="4106" width="15.5" customWidth="1"/>
    <col min="4107" max="4108" width="20.5" customWidth="1"/>
    <col min="4349" max="4349" width="24.83203125" customWidth="1"/>
    <col min="4350" max="4350" width="33" customWidth="1"/>
    <col min="4351" max="4351" width="5.5" customWidth="1"/>
    <col min="4352" max="4353" width="4.5" customWidth="1"/>
    <col min="4354" max="4354" width="5.5" customWidth="1"/>
    <col min="4355" max="4355" width="12.33203125" customWidth="1"/>
    <col min="4356" max="4357" width="10.5" customWidth="1"/>
    <col min="4358" max="4358" width="11.6640625" customWidth="1"/>
    <col min="4359" max="4359" width="11.1640625" customWidth="1"/>
    <col min="4360" max="4360" width="10.5" customWidth="1"/>
    <col min="4361" max="4361" width="11.1640625" customWidth="1"/>
    <col min="4362" max="4362" width="15.5" customWidth="1"/>
    <col min="4363" max="4364" width="20.5" customWidth="1"/>
    <col min="4605" max="4605" width="24.83203125" customWidth="1"/>
    <col min="4606" max="4606" width="33" customWidth="1"/>
    <col min="4607" max="4607" width="5.5" customWidth="1"/>
    <col min="4608" max="4609" width="4.5" customWidth="1"/>
    <col min="4610" max="4610" width="5.5" customWidth="1"/>
    <col min="4611" max="4611" width="12.33203125" customWidth="1"/>
    <col min="4612" max="4613" width="10.5" customWidth="1"/>
    <col min="4614" max="4614" width="11.6640625" customWidth="1"/>
    <col min="4615" max="4615" width="11.1640625" customWidth="1"/>
    <col min="4616" max="4616" width="10.5" customWidth="1"/>
    <col min="4617" max="4617" width="11.1640625" customWidth="1"/>
    <col min="4618" max="4618" width="15.5" customWidth="1"/>
    <col min="4619" max="4620" width="20.5" customWidth="1"/>
    <col min="4861" max="4861" width="24.83203125" customWidth="1"/>
    <col min="4862" max="4862" width="33" customWidth="1"/>
    <col min="4863" max="4863" width="5.5" customWidth="1"/>
    <col min="4864" max="4865" width="4.5" customWidth="1"/>
    <col min="4866" max="4866" width="5.5" customWidth="1"/>
    <col min="4867" max="4867" width="12.33203125" customWidth="1"/>
    <col min="4868" max="4869" width="10.5" customWidth="1"/>
    <col min="4870" max="4870" width="11.6640625" customWidth="1"/>
    <col min="4871" max="4871" width="11.1640625" customWidth="1"/>
    <col min="4872" max="4872" width="10.5" customWidth="1"/>
    <col min="4873" max="4873" width="11.1640625" customWidth="1"/>
    <col min="4874" max="4874" width="15.5" customWidth="1"/>
    <col min="4875" max="4876" width="20.5" customWidth="1"/>
    <col min="5117" max="5117" width="24.83203125" customWidth="1"/>
    <col min="5118" max="5118" width="33" customWidth="1"/>
    <col min="5119" max="5119" width="5.5" customWidth="1"/>
    <col min="5120" max="5121" width="4.5" customWidth="1"/>
    <col min="5122" max="5122" width="5.5" customWidth="1"/>
    <col min="5123" max="5123" width="12.33203125" customWidth="1"/>
    <col min="5124" max="5125" width="10.5" customWidth="1"/>
    <col min="5126" max="5126" width="11.6640625" customWidth="1"/>
    <col min="5127" max="5127" width="11.1640625" customWidth="1"/>
    <col min="5128" max="5128" width="10.5" customWidth="1"/>
    <col min="5129" max="5129" width="11.1640625" customWidth="1"/>
    <col min="5130" max="5130" width="15.5" customWidth="1"/>
    <col min="5131" max="5132" width="20.5" customWidth="1"/>
    <col min="5373" max="5373" width="24.83203125" customWidth="1"/>
    <col min="5374" max="5374" width="33" customWidth="1"/>
    <col min="5375" max="5375" width="5.5" customWidth="1"/>
    <col min="5376" max="5377" width="4.5" customWidth="1"/>
    <col min="5378" max="5378" width="5.5" customWidth="1"/>
    <col min="5379" max="5379" width="12.33203125" customWidth="1"/>
    <col min="5380" max="5381" width="10.5" customWidth="1"/>
    <col min="5382" max="5382" width="11.6640625" customWidth="1"/>
    <col min="5383" max="5383" width="11.1640625" customWidth="1"/>
    <col min="5384" max="5384" width="10.5" customWidth="1"/>
    <col min="5385" max="5385" width="11.1640625" customWidth="1"/>
    <col min="5386" max="5386" width="15.5" customWidth="1"/>
    <col min="5387" max="5388" width="20.5" customWidth="1"/>
    <col min="5629" max="5629" width="24.83203125" customWidth="1"/>
    <col min="5630" max="5630" width="33" customWidth="1"/>
    <col min="5631" max="5631" width="5.5" customWidth="1"/>
    <col min="5632" max="5633" width="4.5" customWidth="1"/>
    <col min="5634" max="5634" width="5.5" customWidth="1"/>
    <col min="5635" max="5635" width="12.33203125" customWidth="1"/>
    <col min="5636" max="5637" width="10.5" customWidth="1"/>
    <col min="5638" max="5638" width="11.6640625" customWidth="1"/>
    <col min="5639" max="5639" width="11.1640625" customWidth="1"/>
    <col min="5640" max="5640" width="10.5" customWidth="1"/>
    <col min="5641" max="5641" width="11.1640625" customWidth="1"/>
    <col min="5642" max="5642" width="15.5" customWidth="1"/>
    <col min="5643" max="5644" width="20.5" customWidth="1"/>
    <col min="5885" max="5885" width="24.83203125" customWidth="1"/>
    <col min="5886" max="5886" width="33" customWidth="1"/>
    <col min="5887" max="5887" width="5.5" customWidth="1"/>
    <col min="5888" max="5889" width="4.5" customWidth="1"/>
    <col min="5890" max="5890" width="5.5" customWidth="1"/>
    <col min="5891" max="5891" width="12.33203125" customWidth="1"/>
    <col min="5892" max="5893" width="10.5" customWidth="1"/>
    <col min="5894" max="5894" width="11.6640625" customWidth="1"/>
    <col min="5895" max="5895" width="11.1640625" customWidth="1"/>
    <col min="5896" max="5896" width="10.5" customWidth="1"/>
    <col min="5897" max="5897" width="11.1640625" customWidth="1"/>
    <col min="5898" max="5898" width="15.5" customWidth="1"/>
    <col min="5899" max="5900" width="20.5" customWidth="1"/>
    <col min="6141" max="6141" width="24.83203125" customWidth="1"/>
    <col min="6142" max="6142" width="33" customWidth="1"/>
    <col min="6143" max="6143" width="5.5" customWidth="1"/>
    <col min="6144" max="6145" width="4.5" customWidth="1"/>
    <col min="6146" max="6146" width="5.5" customWidth="1"/>
    <col min="6147" max="6147" width="12.33203125" customWidth="1"/>
    <col min="6148" max="6149" width="10.5" customWidth="1"/>
    <col min="6150" max="6150" width="11.6640625" customWidth="1"/>
    <col min="6151" max="6151" width="11.1640625" customWidth="1"/>
    <col min="6152" max="6152" width="10.5" customWidth="1"/>
    <col min="6153" max="6153" width="11.1640625" customWidth="1"/>
    <col min="6154" max="6154" width="15.5" customWidth="1"/>
    <col min="6155" max="6156" width="20.5" customWidth="1"/>
    <col min="6397" max="6397" width="24.83203125" customWidth="1"/>
    <col min="6398" max="6398" width="33" customWidth="1"/>
    <col min="6399" max="6399" width="5.5" customWidth="1"/>
    <col min="6400" max="6401" width="4.5" customWidth="1"/>
    <col min="6402" max="6402" width="5.5" customWidth="1"/>
    <col min="6403" max="6403" width="12.33203125" customWidth="1"/>
    <col min="6404" max="6405" width="10.5" customWidth="1"/>
    <col min="6406" max="6406" width="11.6640625" customWidth="1"/>
    <col min="6407" max="6407" width="11.1640625" customWidth="1"/>
    <col min="6408" max="6408" width="10.5" customWidth="1"/>
    <col min="6409" max="6409" width="11.1640625" customWidth="1"/>
    <col min="6410" max="6410" width="15.5" customWidth="1"/>
    <col min="6411" max="6412" width="20.5" customWidth="1"/>
    <col min="6653" max="6653" width="24.83203125" customWidth="1"/>
    <col min="6654" max="6654" width="33" customWidth="1"/>
    <col min="6655" max="6655" width="5.5" customWidth="1"/>
    <col min="6656" max="6657" width="4.5" customWidth="1"/>
    <col min="6658" max="6658" width="5.5" customWidth="1"/>
    <col min="6659" max="6659" width="12.33203125" customWidth="1"/>
    <col min="6660" max="6661" width="10.5" customWidth="1"/>
    <col min="6662" max="6662" width="11.6640625" customWidth="1"/>
    <col min="6663" max="6663" width="11.1640625" customWidth="1"/>
    <col min="6664" max="6664" width="10.5" customWidth="1"/>
    <col min="6665" max="6665" width="11.1640625" customWidth="1"/>
    <col min="6666" max="6666" width="15.5" customWidth="1"/>
    <col min="6667" max="6668" width="20.5" customWidth="1"/>
    <col min="6909" max="6909" width="24.83203125" customWidth="1"/>
    <col min="6910" max="6910" width="33" customWidth="1"/>
    <col min="6911" max="6911" width="5.5" customWidth="1"/>
    <col min="6912" max="6913" width="4.5" customWidth="1"/>
    <col min="6914" max="6914" width="5.5" customWidth="1"/>
    <col min="6915" max="6915" width="12.33203125" customWidth="1"/>
    <col min="6916" max="6917" width="10.5" customWidth="1"/>
    <col min="6918" max="6918" width="11.6640625" customWidth="1"/>
    <col min="6919" max="6919" width="11.1640625" customWidth="1"/>
    <col min="6920" max="6920" width="10.5" customWidth="1"/>
    <col min="6921" max="6921" width="11.1640625" customWidth="1"/>
    <col min="6922" max="6922" width="15.5" customWidth="1"/>
    <col min="6923" max="6924" width="20.5" customWidth="1"/>
    <col min="7165" max="7165" width="24.83203125" customWidth="1"/>
    <col min="7166" max="7166" width="33" customWidth="1"/>
    <col min="7167" max="7167" width="5.5" customWidth="1"/>
    <col min="7168" max="7169" width="4.5" customWidth="1"/>
    <col min="7170" max="7170" width="5.5" customWidth="1"/>
    <col min="7171" max="7171" width="12.33203125" customWidth="1"/>
    <col min="7172" max="7173" width="10.5" customWidth="1"/>
    <col min="7174" max="7174" width="11.6640625" customWidth="1"/>
    <col min="7175" max="7175" width="11.1640625" customWidth="1"/>
    <col min="7176" max="7176" width="10.5" customWidth="1"/>
    <col min="7177" max="7177" width="11.1640625" customWidth="1"/>
    <col min="7178" max="7178" width="15.5" customWidth="1"/>
    <col min="7179" max="7180" width="20.5" customWidth="1"/>
    <col min="7421" max="7421" width="24.83203125" customWidth="1"/>
    <col min="7422" max="7422" width="33" customWidth="1"/>
    <col min="7423" max="7423" width="5.5" customWidth="1"/>
    <col min="7424" max="7425" width="4.5" customWidth="1"/>
    <col min="7426" max="7426" width="5.5" customWidth="1"/>
    <col min="7427" max="7427" width="12.33203125" customWidth="1"/>
    <col min="7428" max="7429" width="10.5" customWidth="1"/>
    <col min="7430" max="7430" width="11.6640625" customWidth="1"/>
    <col min="7431" max="7431" width="11.1640625" customWidth="1"/>
    <col min="7432" max="7432" width="10.5" customWidth="1"/>
    <col min="7433" max="7433" width="11.1640625" customWidth="1"/>
    <col min="7434" max="7434" width="15.5" customWidth="1"/>
    <col min="7435" max="7436" width="20.5" customWidth="1"/>
    <col min="7677" max="7677" width="24.83203125" customWidth="1"/>
    <col min="7678" max="7678" width="33" customWidth="1"/>
    <col min="7679" max="7679" width="5.5" customWidth="1"/>
    <col min="7680" max="7681" width="4.5" customWidth="1"/>
    <col min="7682" max="7682" width="5.5" customWidth="1"/>
    <col min="7683" max="7683" width="12.33203125" customWidth="1"/>
    <col min="7684" max="7685" width="10.5" customWidth="1"/>
    <col min="7686" max="7686" width="11.6640625" customWidth="1"/>
    <col min="7687" max="7687" width="11.1640625" customWidth="1"/>
    <col min="7688" max="7688" width="10.5" customWidth="1"/>
    <col min="7689" max="7689" width="11.1640625" customWidth="1"/>
    <col min="7690" max="7690" width="15.5" customWidth="1"/>
    <col min="7691" max="7692" width="20.5" customWidth="1"/>
    <col min="7933" max="7933" width="24.83203125" customWidth="1"/>
    <col min="7934" max="7934" width="33" customWidth="1"/>
    <col min="7935" max="7935" width="5.5" customWidth="1"/>
    <col min="7936" max="7937" width="4.5" customWidth="1"/>
    <col min="7938" max="7938" width="5.5" customWidth="1"/>
    <col min="7939" max="7939" width="12.33203125" customWidth="1"/>
    <col min="7940" max="7941" width="10.5" customWidth="1"/>
    <col min="7942" max="7942" width="11.6640625" customWidth="1"/>
    <col min="7943" max="7943" width="11.1640625" customWidth="1"/>
    <col min="7944" max="7944" width="10.5" customWidth="1"/>
    <col min="7945" max="7945" width="11.1640625" customWidth="1"/>
    <col min="7946" max="7946" width="15.5" customWidth="1"/>
    <col min="7947" max="7948" width="20.5" customWidth="1"/>
    <col min="8189" max="8189" width="24.83203125" customWidth="1"/>
    <col min="8190" max="8190" width="33" customWidth="1"/>
    <col min="8191" max="8191" width="5.5" customWidth="1"/>
    <col min="8192" max="8193" width="4.5" customWidth="1"/>
    <col min="8194" max="8194" width="5.5" customWidth="1"/>
    <col min="8195" max="8195" width="12.33203125" customWidth="1"/>
    <col min="8196" max="8197" width="10.5" customWidth="1"/>
    <col min="8198" max="8198" width="11.6640625" customWidth="1"/>
    <col min="8199" max="8199" width="11.1640625" customWidth="1"/>
    <col min="8200" max="8200" width="10.5" customWidth="1"/>
    <col min="8201" max="8201" width="11.1640625" customWidth="1"/>
    <col min="8202" max="8202" width="15.5" customWidth="1"/>
    <col min="8203" max="8204" width="20.5" customWidth="1"/>
    <col min="8445" max="8445" width="24.83203125" customWidth="1"/>
    <col min="8446" max="8446" width="33" customWidth="1"/>
    <col min="8447" max="8447" width="5.5" customWidth="1"/>
    <col min="8448" max="8449" width="4.5" customWidth="1"/>
    <col min="8450" max="8450" width="5.5" customWidth="1"/>
    <col min="8451" max="8451" width="12.33203125" customWidth="1"/>
    <col min="8452" max="8453" width="10.5" customWidth="1"/>
    <col min="8454" max="8454" width="11.6640625" customWidth="1"/>
    <col min="8455" max="8455" width="11.1640625" customWidth="1"/>
    <col min="8456" max="8456" width="10.5" customWidth="1"/>
    <col min="8457" max="8457" width="11.1640625" customWidth="1"/>
    <col min="8458" max="8458" width="15.5" customWidth="1"/>
    <col min="8459" max="8460" width="20.5" customWidth="1"/>
    <col min="8701" max="8701" width="24.83203125" customWidth="1"/>
    <col min="8702" max="8702" width="33" customWidth="1"/>
    <col min="8703" max="8703" width="5.5" customWidth="1"/>
    <col min="8704" max="8705" width="4.5" customWidth="1"/>
    <col min="8706" max="8706" width="5.5" customWidth="1"/>
    <col min="8707" max="8707" width="12.33203125" customWidth="1"/>
    <col min="8708" max="8709" width="10.5" customWidth="1"/>
    <col min="8710" max="8710" width="11.6640625" customWidth="1"/>
    <col min="8711" max="8711" width="11.1640625" customWidth="1"/>
    <col min="8712" max="8712" width="10.5" customWidth="1"/>
    <col min="8713" max="8713" width="11.1640625" customWidth="1"/>
    <col min="8714" max="8714" width="15.5" customWidth="1"/>
    <col min="8715" max="8716" width="20.5" customWidth="1"/>
    <col min="8957" max="8957" width="24.83203125" customWidth="1"/>
    <col min="8958" max="8958" width="33" customWidth="1"/>
    <col min="8959" max="8959" width="5.5" customWidth="1"/>
    <col min="8960" max="8961" width="4.5" customWidth="1"/>
    <col min="8962" max="8962" width="5.5" customWidth="1"/>
    <col min="8963" max="8963" width="12.33203125" customWidth="1"/>
    <col min="8964" max="8965" width="10.5" customWidth="1"/>
    <col min="8966" max="8966" width="11.6640625" customWidth="1"/>
    <col min="8967" max="8967" width="11.1640625" customWidth="1"/>
    <col min="8968" max="8968" width="10.5" customWidth="1"/>
    <col min="8969" max="8969" width="11.1640625" customWidth="1"/>
    <col min="8970" max="8970" width="15.5" customWidth="1"/>
    <col min="8971" max="8972" width="20.5" customWidth="1"/>
    <col min="9213" max="9213" width="24.83203125" customWidth="1"/>
    <col min="9214" max="9214" width="33" customWidth="1"/>
    <col min="9215" max="9215" width="5.5" customWidth="1"/>
    <col min="9216" max="9217" width="4.5" customWidth="1"/>
    <col min="9218" max="9218" width="5.5" customWidth="1"/>
    <col min="9219" max="9219" width="12.33203125" customWidth="1"/>
    <col min="9220" max="9221" width="10.5" customWidth="1"/>
    <col min="9222" max="9222" width="11.6640625" customWidth="1"/>
    <col min="9223" max="9223" width="11.1640625" customWidth="1"/>
    <col min="9224" max="9224" width="10.5" customWidth="1"/>
    <col min="9225" max="9225" width="11.1640625" customWidth="1"/>
    <col min="9226" max="9226" width="15.5" customWidth="1"/>
    <col min="9227" max="9228" width="20.5" customWidth="1"/>
    <col min="9469" max="9469" width="24.83203125" customWidth="1"/>
    <col min="9470" max="9470" width="33" customWidth="1"/>
    <col min="9471" max="9471" width="5.5" customWidth="1"/>
    <col min="9472" max="9473" width="4.5" customWidth="1"/>
    <col min="9474" max="9474" width="5.5" customWidth="1"/>
    <col min="9475" max="9475" width="12.33203125" customWidth="1"/>
    <col min="9476" max="9477" width="10.5" customWidth="1"/>
    <col min="9478" max="9478" width="11.6640625" customWidth="1"/>
    <col min="9479" max="9479" width="11.1640625" customWidth="1"/>
    <col min="9480" max="9480" width="10.5" customWidth="1"/>
    <col min="9481" max="9481" width="11.1640625" customWidth="1"/>
    <col min="9482" max="9482" width="15.5" customWidth="1"/>
    <col min="9483" max="9484" width="20.5" customWidth="1"/>
    <col min="9725" max="9725" width="24.83203125" customWidth="1"/>
    <col min="9726" max="9726" width="33" customWidth="1"/>
    <col min="9727" max="9727" width="5.5" customWidth="1"/>
    <col min="9728" max="9729" width="4.5" customWidth="1"/>
    <col min="9730" max="9730" width="5.5" customWidth="1"/>
    <col min="9731" max="9731" width="12.33203125" customWidth="1"/>
    <col min="9732" max="9733" width="10.5" customWidth="1"/>
    <col min="9734" max="9734" width="11.6640625" customWidth="1"/>
    <col min="9735" max="9735" width="11.1640625" customWidth="1"/>
    <col min="9736" max="9736" width="10.5" customWidth="1"/>
    <col min="9737" max="9737" width="11.1640625" customWidth="1"/>
    <col min="9738" max="9738" width="15.5" customWidth="1"/>
    <col min="9739" max="9740" width="20.5" customWidth="1"/>
    <col min="9981" max="9981" width="24.83203125" customWidth="1"/>
    <col min="9982" max="9982" width="33" customWidth="1"/>
    <col min="9983" max="9983" width="5.5" customWidth="1"/>
    <col min="9984" max="9985" width="4.5" customWidth="1"/>
    <col min="9986" max="9986" width="5.5" customWidth="1"/>
    <col min="9987" max="9987" width="12.33203125" customWidth="1"/>
    <col min="9988" max="9989" width="10.5" customWidth="1"/>
    <col min="9990" max="9990" width="11.6640625" customWidth="1"/>
    <col min="9991" max="9991" width="11.1640625" customWidth="1"/>
    <col min="9992" max="9992" width="10.5" customWidth="1"/>
    <col min="9993" max="9993" width="11.1640625" customWidth="1"/>
    <col min="9994" max="9994" width="15.5" customWidth="1"/>
    <col min="9995" max="9996" width="20.5" customWidth="1"/>
    <col min="10237" max="10237" width="24.83203125" customWidth="1"/>
    <col min="10238" max="10238" width="33" customWidth="1"/>
    <col min="10239" max="10239" width="5.5" customWidth="1"/>
    <col min="10240" max="10241" width="4.5" customWidth="1"/>
    <col min="10242" max="10242" width="5.5" customWidth="1"/>
    <col min="10243" max="10243" width="12.33203125" customWidth="1"/>
    <col min="10244" max="10245" width="10.5" customWidth="1"/>
    <col min="10246" max="10246" width="11.6640625" customWidth="1"/>
    <col min="10247" max="10247" width="11.1640625" customWidth="1"/>
    <col min="10248" max="10248" width="10.5" customWidth="1"/>
    <col min="10249" max="10249" width="11.1640625" customWidth="1"/>
    <col min="10250" max="10250" width="15.5" customWidth="1"/>
    <col min="10251" max="10252" width="20.5" customWidth="1"/>
    <col min="10493" max="10493" width="24.83203125" customWidth="1"/>
    <col min="10494" max="10494" width="33" customWidth="1"/>
    <col min="10495" max="10495" width="5.5" customWidth="1"/>
    <col min="10496" max="10497" width="4.5" customWidth="1"/>
    <col min="10498" max="10498" width="5.5" customWidth="1"/>
    <col min="10499" max="10499" width="12.33203125" customWidth="1"/>
    <col min="10500" max="10501" width="10.5" customWidth="1"/>
    <col min="10502" max="10502" width="11.6640625" customWidth="1"/>
    <col min="10503" max="10503" width="11.1640625" customWidth="1"/>
    <col min="10504" max="10504" width="10.5" customWidth="1"/>
    <col min="10505" max="10505" width="11.1640625" customWidth="1"/>
    <col min="10506" max="10506" width="15.5" customWidth="1"/>
    <col min="10507" max="10508" width="20.5" customWidth="1"/>
    <col min="10749" max="10749" width="24.83203125" customWidth="1"/>
    <col min="10750" max="10750" width="33" customWidth="1"/>
    <col min="10751" max="10751" width="5.5" customWidth="1"/>
    <col min="10752" max="10753" width="4.5" customWidth="1"/>
    <col min="10754" max="10754" width="5.5" customWidth="1"/>
    <col min="10755" max="10755" width="12.33203125" customWidth="1"/>
    <col min="10756" max="10757" width="10.5" customWidth="1"/>
    <col min="10758" max="10758" width="11.6640625" customWidth="1"/>
    <col min="10759" max="10759" width="11.1640625" customWidth="1"/>
    <col min="10760" max="10760" width="10.5" customWidth="1"/>
    <col min="10761" max="10761" width="11.1640625" customWidth="1"/>
    <col min="10762" max="10762" width="15.5" customWidth="1"/>
    <col min="10763" max="10764" width="20.5" customWidth="1"/>
    <col min="11005" max="11005" width="24.83203125" customWidth="1"/>
    <col min="11006" max="11006" width="33" customWidth="1"/>
    <col min="11007" max="11007" width="5.5" customWidth="1"/>
    <col min="11008" max="11009" width="4.5" customWidth="1"/>
    <col min="11010" max="11010" width="5.5" customWidth="1"/>
    <col min="11011" max="11011" width="12.33203125" customWidth="1"/>
    <col min="11012" max="11013" width="10.5" customWidth="1"/>
    <col min="11014" max="11014" width="11.6640625" customWidth="1"/>
    <col min="11015" max="11015" width="11.1640625" customWidth="1"/>
    <col min="11016" max="11016" width="10.5" customWidth="1"/>
    <col min="11017" max="11017" width="11.1640625" customWidth="1"/>
    <col min="11018" max="11018" width="15.5" customWidth="1"/>
    <col min="11019" max="11020" width="20.5" customWidth="1"/>
    <col min="11261" max="11261" width="24.83203125" customWidth="1"/>
    <col min="11262" max="11262" width="33" customWidth="1"/>
    <col min="11263" max="11263" width="5.5" customWidth="1"/>
    <col min="11264" max="11265" width="4.5" customWidth="1"/>
    <col min="11266" max="11266" width="5.5" customWidth="1"/>
    <col min="11267" max="11267" width="12.33203125" customWidth="1"/>
    <col min="11268" max="11269" width="10.5" customWidth="1"/>
    <col min="11270" max="11270" width="11.6640625" customWidth="1"/>
    <col min="11271" max="11271" width="11.1640625" customWidth="1"/>
    <col min="11272" max="11272" width="10.5" customWidth="1"/>
    <col min="11273" max="11273" width="11.1640625" customWidth="1"/>
    <col min="11274" max="11274" width="15.5" customWidth="1"/>
    <col min="11275" max="11276" width="20.5" customWidth="1"/>
    <col min="11517" max="11517" width="24.83203125" customWidth="1"/>
    <col min="11518" max="11518" width="33" customWidth="1"/>
    <col min="11519" max="11519" width="5.5" customWidth="1"/>
    <col min="11520" max="11521" width="4.5" customWidth="1"/>
    <col min="11522" max="11522" width="5.5" customWidth="1"/>
    <col min="11523" max="11523" width="12.33203125" customWidth="1"/>
    <col min="11524" max="11525" width="10.5" customWidth="1"/>
    <col min="11526" max="11526" width="11.6640625" customWidth="1"/>
    <col min="11527" max="11527" width="11.1640625" customWidth="1"/>
    <col min="11528" max="11528" width="10.5" customWidth="1"/>
    <col min="11529" max="11529" width="11.1640625" customWidth="1"/>
    <col min="11530" max="11530" width="15.5" customWidth="1"/>
    <col min="11531" max="11532" width="20.5" customWidth="1"/>
    <col min="11773" max="11773" width="24.83203125" customWidth="1"/>
    <col min="11774" max="11774" width="33" customWidth="1"/>
    <col min="11775" max="11775" width="5.5" customWidth="1"/>
    <col min="11776" max="11777" width="4.5" customWidth="1"/>
    <col min="11778" max="11778" width="5.5" customWidth="1"/>
    <col min="11779" max="11779" width="12.33203125" customWidth="1"/>
    <col min="11780" max="11781" width="10.5" customWidth="1"/>
    <col min="11782" max="11782" width="11.6640625" customWidth="1"/>
    <col min="11783" max="11783" width="11.1640625" customWidth="1"/>
    <col min="11784" max="11784" width="10.5" customWidth="1"/>
    <col min="11785" max="11785" width="11.1640625" customWidth="1"/>
    <col min="11786" max="11786" width="15.5" customWidth="1"/>
    <col min="11787" max="11788" width="20.5" customWidth="1"/>
    <col min="12029" max="12029" width="24.83203125" customWidth="1"/>
    <col min="12030" max="12030" width="33" customWidth="1"/>
    <col min="12031" max="12031" width="5.5" customWidth="1"/>
    <col min="12032" max="12033" width="4.5" customWidth="1"/>
    <col min="12034" max="12034" width="5.5" customWidth="1"/>
    <col min="12035" max="12035" width="12.33203125" customWidth="1"/>
    <col min="12036" max="12037" width="10.5" customWidth="1"/>
    <col min="12038" max="12038" width="11.6640625" customWidth="1"/>
    <col min="12039" max="12039" width="11.1640625" customWidth="1"/>
    <col min="12040" max="12040" width="10.5" customWidth="1"/>
    <col min="12041" max="12041" width="11.1640625" customWidth="1"/>
    <col min="12042" max="12042" width="15.5" customWidth="1"/>
    <col min="12043" max="12044" width="20.5" customWidth="1"/>
    <col min="12285" max="12285" width="24.83203125" customWidth="1"/>
    <col min="12286" max="12286" width="33" customWidth="1"/>
    <col min="12287" max="12287" width="5.5" customWidth="1"/>
    <col min="12288" max="12289" width="4.5" customWidth="1"/>
    <col min="12290" max="12290" width="5.5" customWidth="1"/>
    <col min="12291" max="12291" width="12.33203125" customWidth="1"/>
    <col min="12292" max="12293" width="10.5" customWidth="1"/>
    <col min="12294" max="12294" width="11.6640625" customWidth="1"/>
    <col min="12295" max="12295" width="11.1640625" customWidth="1"/>
    <col min="12296" max="12296" width="10.5" customWidth="1"/>
    <col min="12297" max="12297" width="11.1640625" customWidth="1"/>
    <col min="12298" max="12298" width="15.5" customWidth="1"/>
    <col min="12299" max="12300" width="20.5" customWidth="1"/>
    <col min="12541" max="12541" width="24.83203125" customWidth="1"/>
    <col min="12542" max="12542" width="33" customWidth="1"/>
    <col min="12543" max="12543" width="5.5" customWidth="1"/>
    <col min="12544" max="12545" width="4.5" customWidth="1"/>
    <col min="12546" max="12546" width="5.5" customWidth="1"/>
    <col min="12547" max="12547" width="12.33203125" customWidth="1"/>
    <col min="12548" max="12549" width="10.5" customWidth="1"/>
    <col min="12550" max="12550" width="11.6640625" customWidth="1"/>
    <col min="12551" max="12551" width="11.1640625" customWidth="1"/>
    <col min="12552" max="12552" width="10.5" customWidth="1"/>
    <col min="12553" max="12553" width="11.1640625" customWidth="1"/>
    <col min="12554" max="12554" width="15.5" customWidth="1"/>
    <col min="12555" max="12556" width="20.5" customWidth="1"/>
    <col min="12797" max="12797" width="24.83203125" customWidth="1"/>
    <col min="12798" max="12798" width="33" customWidth="1"/>
    <col min="12799" max="12799" width="5.5" customWidth="1"/>
    <col min="12800" max="12801" width="4.5" customWidth="1"/>
    <col min="12802" max="12802" width="5.5" customWidth="1"/>
    <col min="12803" max="12803" width="12.33203125" customWidth="1"/>
    <col min="12804" max="12805" width="10.5" customWidth="1"/>
    <col min="12806" max="12806" width="11.6640625" customWidth="1"/>
    <col min="12807" max="12807" width="11.1640625" customWidth="1"/>
    <col min="12808" max="12808" width="10.5" customWidth="1"/>
    <col min="12809" max="12809" width="11.1640625" customWidth="1"/>
    <col min="12810" max="12810" width="15.5" customWidth="1"/>
    <col min="12811" max="12812" width="20.5" customWidth="1"/>
    <col min="13053" max="13053" width="24.83203125" customWidth="1"/>
    <col min="13054" max="13054" width="33" customWidth="1"/>
    <col min="13055" max="13055" width="5.5" customWidth="1"/>
    <col min="13056" max="13057" width="4.5" customWidth="1"/>
    <col min="13058" max="13058" width="5.5" customWidth="1"/>
    <col min="13059" max="13059" width="12.33203125" customWidth="1"/>
    <col min="13060" max="13061" width="10.5" customWidth="1"/>
    <col min="13062" max="13062" width="11.6640625" customWidth="1"/>
    <col min="13063" max="13063" width="11.1640625" customWidth="1"/>
    <col min="13064" max="13064" width="10.5" customWidth="1"/>
    <col min="13065" max="13065" width="11.1640625" customWidth="1"/>
    <col min="13066" max="13066" width="15.5" customWidth="1"/>
    <col min="13067" max="13068" width="20.5" customWidth="1"/>
    <col min="13309" max="13309" width="24.83203125" customWidth="1"/>
    <col min="13310" max="13310" width="33" customWidth="1"/>
    <col min="13311" max="13311" width="5.5" customWidth="1"/>
    <col min="13312" max="13313" width="4.5" customWidth="1"/>
    <col min="13314" max="13314" width="5.5" customWidth="1"/>
    <col min="13315" max="13315" width="12.33203125" customWidth="1"/>
    <col min="13316" max="13317" width="10.5" customWidth="1"/>
    <col min="13318" max="13318" width="11.6640625" customWidth="1"/>
    <col min="13319" max="13319" width="11.1640625" customWidth="1"/>
    <col min="13320" max="13320" width="10.5" customWidth="1"/>
    <col min="13321" max="13321" width="11.1640625" customWidth="1"/>
    <col min="13322" max="13322" width="15.5" customWidth="1"/>
    <col min="13323" max="13324" width="20.5" customWidth="1"/>
    <col min="13565" max="13565" width="24.83203125" customWidth="1"/>
    <col min="13566" max="13566" width="33" customWidth="1"/>
    <col min="13567" max="13567" width="5.5" customWidth="1"/>
    <col min="13568" max="13569" width="4.5" customWidth="1"/>
    <col min="13570" max="13570" width="5.5" customWidth="1"/>
    <col min="13571" max="13571" width="12.33203125" customWidth="1"/>
    <col min="13572" max="13573" width="10.5" customWidth="1"/>
    <col min="13574" max="13574" width="11.6640625" customWidth="1"/>
    <col min="13575" max="13575" width="11.1640625" customWidth="1"/>
    <col min="13576" max="13576" width="10.5" customWidth="1"/>
    <col min="13577" max="13577" width="11.1640625" customWidth="1"/>
    <col min="13578" max="13578" width="15.5" customWidth="1"/>
    <col min="13579" max="13580" width="20.5" customWidth="1"/>
    <col min="13821" max="13821" width="24.83203125" customWidth="1"/>
    <col min="13822" max="13822" width="33" customWidth="1"/>
    <col min="13823" max="13823" width="5.5" customWidth="1"/>
    <col min="13824" max="13825" width="4.5" customWidth="1"/>
    <col min="13826" max="13826" width="5.5" customWidth="1"/>
    <col min="13827" max="13827" width="12.33203125" customWidth="1"/>
    <col min="13828" max="13829" width="10.5" customWidth="1"/>
    <col min="13830" max="13830" width="11.6640625" customWidth="1"/>
    <col min="13831" max="13831" width="11.1640625" customWidth="1"/>
    <col min="13832" max="13832" width="10.5" customWidth="1"/>
    <col min="13833" max="13833" width="11.1640625" customWidth="1"/>
    <col min="13834" max="13834" width="15.5" customWidth="1"/>
    <col min="13835" max="13836" width="20.5" customWidth="1"/>
    <col min="14077" max="14077" width="24.83203125" customWidth="1"/>
    <col min="14078" max="14078" width="33" customWidth="1"/>
    <col min="14079" max="14079" width="5.5" customWidth="1"/>
    <col min="14080" max="14081" width="4.5" customWidth="1"/>
    <col min="14082" max="14082" width="5.5" customWidth="1"/>
    <col min="14083" max="14083" width="12.33203125" customWidth="1"/>
    <col min="14084" max="14085" width="10.5" customWidth="1"/>
    <col min="14086" max="14086" width="11.6640625" customWidth="1"/>
    <col min="14087" max="14087" width="11.1640625" customWidth="1"/>
    <col min="14088" max="14088" width="10.5" customWidth="1"/>
    <col min="14089" max="14089" width="11.1640625" customWidth="1"/>
    <col min="14090" max="14090" width="15.5" customWidth="1"/>
    <col min="14091" max="14092" width="20.5" customWidth="1"/>
    <col min="14333" max="14333" width="24.83203125" customWidth="1"/>
    <col min="14334" max="14334" width="33" customWidth="1"/>
    <col min="14335" max="14335" width="5.5" customWidth="1"/>
    <col min="14336" max="14337" width="4.5" customWidth="1"/>
    <col min="14338" max="14338" width="5.5" customWidth="1"/>
    <col min="14339" max="14339" width="12.33203125" customWidth="1"/>
    <col min="14340" max="14341" width="10.5" customWidth="1"/>
    <col min="14342" max="14342" width="11.6640625" customWidth="1"/>
    <col min="14343" max="14343" width="11.1640625" customWidth="1"/>
    <col min="14344" max="14344" width="10.5" customWidth="1"/>
    <col min="14345" max="14345" width="11.1640625" customWidth="1"/>
    <col min="14346" max="14346" width="15.5" customWidth="1"/>
    <col min="14347" max="14348" width="20.5" customWidth="1"/>
    <col min="14589" max="14589" width="24.83203125" customWidth="1"/>
    <col min="14590" max="14590" width="33" customWidth="1"/>
    <col min="14591" max="14591" width="5.5" customWidth="1"/>
    <col min="14592" max="14593" width="4.5" customWidth="1"/>
    <col min="14594" max="14594" width="5.5" customWidth="1"/>
    <col min="14595" max="14595" width="12.33203125" customWidth="1"/>
    <col min="14596" max="14597" width="10.5" customWidth="1"/>
    <col min="14598" max="14598" width="11.6640625" customWidth="1"/>
    <col min="14599" max="14599" width="11.1640625" customWidth="1"/>
    <col min="14600" max="14600" width="10.5" customWidth="1"/>
    <col min="14601" max="14601" width="11.1640625" customWidth="1"/>
    <col min="14602" max="14602" width="15.5" customWidth="1"/>
    <col min="14603" max="14604" width="20.5" customWidth="1"/>
    <col min="14845" max="14845" width="24.83203125" customWidth="1"/>
    <col min="14846" max="14846" width="33" customWidth="1"/>
    <col min="14847" max="14847" width="5.5" customWidth="1"/>
    <col min="14848" max="14849" width="4.5" customWidth="1"/>
    <col min="14850" max="14850" width="5.5" customWidth="1"/>
    <col min="14851" max="14851" width="12.33203125" customWidth="1"/>
    <col min="14852" max="14853" width="10.5" customWidth="1"/>
    <col min="14854" max="14854" width="11.6640625" customWidth="1"/>
    <col min="14855" max="14855" width="11.1640625" customWidth="1"/>
    <col min="14856" max="14856" width="10.5" customWidth="1"/>
    <col min="14857" max="14857" width="11.1640625" customWidth="1"/>
    <col min="14858" max="14858" width="15.5" customWidth="1"/>
    <col min="14859" max="14860" width="20.5" customWidth="1"/>
    <col min="15101" max="15101" width="24.83203125" customWidth="1"/>
    <col min="15102" max="15102" width="33" customWidth="1"/>
    <col min="15103" max="15103" width="5.5" customWidth="1"/>
    <col min="15104" max="15105" width="4.5" customWidth="1"/>
    <col min="15106" max="15106" width="5.5" customWidth="1"/>
    <col min="15107" max="15107" width="12.33203125" customWidth="1"/>
    <col min="15108" max="15109" width="10.5" customWidth="1"/>
    <col min="15110" max="15110" width="11.6640625" customWidth="1"/>
    <col min="15111" max="15111" width="11.1640625" customWidth="1"/>
    <col min="15112" max="15112" width="10.5" customWidth="1"/>
    <col min="15113" max="15113" width="11.1640625" customWidth="1"/>
    <col min="15114" max="15114" width="15.5" customWidth="1"/>
    <col min="15115" max="15116" width="20.5" customWidth="1"/>
    <col min="15357" max="15357" width="24.83203125" customWidth="1"/>
    <col min="15358" max="15358" width="33" customWidth="1"/>
    <col min="15359" max="15359" width="5.5" customWidth="1"/>
    <col min="15360" max="15361" width="4.5" customWidth="1"/>
    <col min="15362" max="15362" width="5.5" customWidth="1"/>
    <col min="15363" max="15363" width="12.33203125" customWidth="1"/>
    <col min="15364" max="15365" width="10.5" customWidth="1"/>
    <col min="15366" max="15366" width="11.6640625" customWidth="1"/>
    <col min="15367" max="15367" width="11.1640625" customWidth="1"/>
    <col min="15368" max="15368" width="10.5" customWidth="1"/>
    <col min="15369" max="15369" width="11.1640625" customWidth="1"/>
    <col min="15370" max="15370" width="15.5" customWidth="1"/>
    <col min="15371" max="15372" width="20.5" customWidth="1"/>
    <col min="15613" max="15613" width="24.83203125" customWidth="1"/>
    <col min="15614" max="15614" width="33" customWidth="1"/>
    <col min="15615" max="15615" width="5.5" customWidth="1"/>
    <col min="15616" max="15617" width="4.5" customWidth="1"/>
    <col min="15618" max="15618" width="5.5" customWidth="1"/>
    <col min="15619" max="15619" width="12.33203125" customWidth="1"/>
    <col min="15620" max="15621" width="10.5" customWidth="1"/>
    <col min="15622" max="15622" width="11.6640625" customWidth="1"/>
    <col min="15623" max="15623" width="11.1640625" customWidth="1"/>
    <col min="15624" max="15624" width="10.5" customWidth="1"/>
    <col min="15625" max="15625" width="11.1640625" customWidth="1"/>
    <col min="15626" max="15626" width="15.5" customWidth="1"/>
    <col min="15627" max="15628" width="20.5" customWidth="1"/>
    <col min="15869" max="15869" width="24.83203125" customWidth="1"/>
    <col min="15870" max="15870" width="33" customWidth="1"/>
    <col min="15871" max="15871" width="5.5" customWidth="1"/>
    <col min="15872" max="15873" width="4.5" customWidth="1"/>
    <col min="15874" max="15874" width="5.5" customWidth="1"/>
    <col min="15875" max="15875" width="12.33203125" customWidth="1"/>
    <col min="15876" max="15877" width="10.5" customWidth="1"/>
    <col min="15878" max="15878" width="11.6640625" customWidth="1"/>
    <col min="15879" max="15879" width="11.1640625" customWidth="1"/>
    <col min="15880" max="15880" width="10.5" customWidth="1"/>
    <col min="15881" max="15881" width="11.1640625" customWidth="1"/>
    <col min="15882" max="15882" width="15.5" customWidth="1"/>
    <col min="15883" max="15884" width="20.5" customWidth="1"/>
    <col min="16125" max="16125" width="24.83203125" customWidth="1"/>
    <col min="16126" max="16126" width="33" customWidth="1"/>
    <col min="16127" max="16127" width="5.5" customWidth="1"/>
    <col min="16128" max="16129" width="4.5" customWidth="1"/>
    <col min="16130" max="16130" width="5.5" customWidth="1"/>
    <col min="16131" max="16131" width="12.33203125" customWidth="1"/>
    <col min="16132" max="16133" width="10.5" customWidth="1"/>
    <col min="16134" max="16134" width="11.6640625" customWidth="1"/>
    <col min="16135" max="16135" width="11.1640625" customWidth="1"/>
    <col min="16136" max="16136" width="10.5" customWidth="1"/>
    <col min="16137" max="16137" width="11.1640625" customWidth="1"/>
    <col min="16138" max="16138" width="15.5" customWidth="1"/>
    <col min="16139" max="16140" width="20.5" customWidth="1"/>
  </cols>
  <sheetData>
    <row r="1" spans="1:17" s="1" customFormat="1" ht="20" customHeight="1">
      <c r="A1" s="36" t="s">
        <v>436</v>
      </c>
      <c r="B1" s="36"/>
      <c r="C1" s="36"/>
      <c r="D1" s="36"/>
      <c r="E1" s="36"/>
      <c r="F1" s="36"/>
      <c r="G1" s="247"/>
      <c r="H1" s="36"/>
      <c r="I1" s="36"/>
      <c r="J1" s="36"/>
      <c r="K1" s="36"/>
      <c r="L1" s="36"/>
      <c r="M1" s="36"/>
      <c r="N1" s="36"/>
      <c r="O1" s="36"/>
      <c r="P1" s="36"/>
      <c r="Q1" s="132"/>
    </row>
    <row r="2" spans="1:17" s="1" customFormat="1" ht="16" customHeight="1">
      <c r="A2" s="247" t="s">
        <v>667</v>
      </c>
      <c r="B2" s="29"/>
      <c r="C2" s="29"/>
      <c r="D2" s="29"/>
      <c r="E2" s="29"/>
      <c r="F2" s="29"/>
      <c r="G2" s="247"/>
      <c r="H2" s="29"/>
      <c r="I2" s="29"/>
      <c r="J2" s="29"/>
      <c r="K2" s="29"/>
      <c r="L2" s="29"/>
      <c r="M2" s="29"/>
      <c r="N2" s="248"/>
      <c r="O2" s="29"/>
      <c r="P2" s="29"/>
      <c r="Q2" s="132"/>
    </row>
    <row r="3" spans="1:17" ht="65" customHeight="1">
      <c r="A3" s="259" t="s">
        <v>498</v>
      </c>
      <c r="B3" s="206" t="s">
        <v>430</v>
      </c>
      <c r="C3" s="261" t="s">
        <v>112</v>
      </c>
      <c r="D3" s="261"/>
      <c r="E3" s="261"/>
      <c r="F3" s="261"/>
      <c r="G3" s="260" t="s">
        <v>240</v>
      </c>
      <c r="H3" s="260" t="s">
        <v>129</v>
      </c>
      <c r="I3" s="260" t="s">
        <v>162</v>
      </c>
      <c r="J3" s="259" t="s">
        <v>195</v>
      </c>
      <c r="K3" s="259" t="s">
        <v>196</v>
      </c>
      <c r="L3" s="259" t="s">
        <v>197</v>
      </c>
      <c r="M3" s="259" t="s">
        <v>198</v>
      </c>
      <c r="N3" s="260" t="s">
        <v>114</v>
      </c>
      <c r="O3" s="259" t="s">
        <v>115</v>
      </c>
      <c r="P3" s="260"/>
    </row>
    <row r="4" spans="1:17" ht="30" customHeight="1">
      <c r="A4" s="260"/>
      <c r="B4" s="207" t="s">
        <v>108</v>
      </c>
      <c r="C4" s="259" t="s">
        <v>89</v>
      </c>
      <c r="D4" s="260" t="s">
        <v>90</v>
      </c>
      <c r="E4" s="260" t="s">
        <v>107</v>
      </c>
      <c r="F4" s="261" t="s">
        <v>88</v>
      </c>
      <c r="G4" s="260"/>
      <c r="H4" s="260"/>
      <c r="I4" s="260"/>
      <c r="J4" s="260"/>
      <c r="K4" s="259"/>
      <c r="L4" s="260"/>
      <c r="M4" s="260"/>
      <c r="N4" s="260"/>
      <c r="O4" s="260" t="s">
        <v>116</v>
      </c>
      <c r="P4" s="260" t="s">
        <v>117</v>
      </c>
    </row>
    <row r="5" spans="1:17" ht="32" customHeight="1">
      <c r="A5" s="260"/>
      <c r="B5" s="207" t="s">
        <v>109</v>
      </c>
      <c r="C5" s="259"/>
      <c r="D5" s="260"/>
      <c r="E5" s="260"/>
      <c r="F5" s="261"/>
      <c r="G5" s="260"/>
      <c r="H5" s="260"/>
      <c r="I5" s="260"/>
      <c r="J5" s="260"/>
      <c r="K5" s="259"/>
      <c r="L5" s="260"/>
      <c r="M5" s="260"/>
      <c r="N5" s="260"/>
      <c r="O5" s="260"/>
      <c r="P5" s="260"/>
    </row>
    <row r="6" spans="1:17" ht="16" customHeight="1">
      <c r="A6" s="120" t="s">
        <v>0</v>
      </c>
      <c r="B6" s="122"/>
      <c r="C6" s="122"/>
      <c r="D6" s="122"/>
      <c r="E6" s="122"/>
      <c r="F6" s="122"/>
      <c r="G6" s="165"/>
      <c r="H6" s="126"/>
      <c r="I6" s="126"/>
      <c r="J6" s="166"/>
      <c r="K6" s="166"/>
      <c r="L6" s="166"/>
      <c r="M6" s="166"/>
      <c r="N6" s="166"/>
      <c r="O6" s="165"/>
      <c r="P6" s="165"/>
    </row>
    <row r="7" spans="1:17" ht="16" customHeight="1">
      <c r="A7" s="107" t="s">
        <v>1</v>
      </c>
      <c r="B7" s="108" t="s">
        <v>108</v>
      </c>
      <c r="C7" s="109">
        <f>IF(B7="Да, размещен ",4,0)</f>
        <v>4</v>
      </c>
      <c r="D7" s="110"/>
      <c r="E7" s="110"/>
      <c r="F7" s="167">
        <f>C7*(1-D7)*(1-E7)</f>
        <v>4</v>
      </c>
      <c r="G7" s="112" t="s">
        <v>186</v>
      </c>
      <c r="H7" s="113">
        <v>44918</v>
      </c>
      <c r="I7" s="113">
        <v>44924</v>
      </c>
      <c r="J7" s="114" t="s">
        <v>186</v>
      </c>
      <c r="K7" s="114" t="s">
        <v>186</v>
      </c>
      <c r="L7" s="114" t="s">
        <v>186</v>
      </c>
      <c r="M7" s="114" t="s">
        <v>186</v>
      </c>
      <c r="N7" s="115" t="s">
        <v>111</v>
      </c>
      <c r="O7" s="116" t="s">
        <v>499</v>
      </c>
      <c r="P7" s="116" t="s">
        <v>166</v>
      </c>
    </row>
    <row r="8" spans="1:17" ht="16" customHeight="1">
      <c r="A8" s="107" t="s">
        <v>2</v>
      </c>
      <c r="B8" s="108" t="s">
        <v>108</v>
      </c>
      <c r="C8" s="109">
        <f t="shared" ref="C8:C71" si="0">IF(B8="Да, размещен ",4,0)</f>
        <v>4</v>
      </c>
      <c r="D8" s="110"/>
      <c r="E8" s="110"/>
      <c r="F8" s="167">
        <f t="shared" ref="F8:F71" si="1">C8*(1-D8)*(1-E8)</f>
        <v>4</v>
      </c>
      <c r="G8" s="112" t="s">
        <v>186</v>
      </c>
      <c r="H8" s="113">
        <v>44907</v>
      </c>
      <c r="I8" s="113">
        <v>44908</v>
      </c>
      <c r="J8" s="114" t="s">
        <v>186</v>
      </c>
      <c r="K8" s="114" t="s">
        <v>186</v>
      </c>
      <c r="L8" s="114" t="s">
        <v>186</v>
      </c>
      <c r="M8" s="114" t="s">
        <v>186</v>
      </c>
      <c r="N8" s="115" t="s">
        <v>111</v>
      </c>
      <c r="O8" s="116" t="s">
        <v>534</v>
      </c>
      <c r="P8" s="168" t="s">
        <v>500</v>
      </c>
      <c r="Q8" s="70" t="s">
        <v>111</v>
      </c>
    </row>
    <row r="9" spans="1:17" ht="16" customHeight="1">
      <c r="A9" s="107" t="s">
        <v>3</v>
      </c>
      <c r="B9" s="108" t="s">
        <v>108</v>
      </c>
      <c r="C9" s="109">
        <f t="shared" si="0"/>
        <v>4</v>
      </c>
      <c r="D9" s="110"/>
      <c r="E9" s="110"/>
      <c r="F9" s="167">
        <f t="shared" si="1"/>
        <v>4</v>
      </c>
      <c r="G9" s="112" t="s">
        <v>186</v>
      </c>
      <c r="H9" s="113">
        <v>44921</v>
      </c>
      <c r="I9" s="113">
        <v>44922</v>
      </c>
      <c r="J9" s="114" t="s">
        <v>186</v>
      </c>
      <c r="K9" s="114" t="s">
        <v>186</v>
      </c>
      <c r="L9" s="114" t="s">
        <v>186</v>
      </c>
      <c r="M9" s="114" t="s">
        <v>186</v>
      </c>
      <c r="N9" s="115" t="s">
        <v>111</v>
      </c>
      <c r="O9" s="116" t="s">
        <v>123</v>
      </c>
      <c r="P9" s="116" t="s">
        <v>181</v>
      </c>
    </row>
    <row r="10" spans="1:17" ht="16" customHeight="1">
      <c r="A10" s="107" t="s">
        <v>4</v>
      </c>
      <c r="B10" s="108" t="s">
        <v>108</v>
      </c>
      <c r="C10" s="109">
        <f t="shared" si="0"/>
        <v>4</v>
      </c>
      <c r="D10" s="110"/>
      <c r="E10" s="110"/>
      <c r="F10" s="167">
        <f t="shared" si="1"/>
        <v>4</v>
      </c>
      <c r="G10" s="112" t="s">
        <v>186</v>
      </c>
      <c r="H10" s="113">
        <v>44914</v>
      </c>
      <c r="I10" s="113">
        <v>44917</v>
      </c>
      <c r="J10" s="114" t="s">
        <v>186</v>
      </c>
      <c r="K10" s="114" t="s">
        <v>186</v>
      </c>
      <c r="L10" s="114" t="s">
        <v>186</v>
      </c>
      <c r="M10" s="114" t="s">
        <v>186</v>
      </c>
      <c r="N10" s="115" t="s">
        <v>111</v>
      </c>
      <c r="O10" s="116" t="s">
        <v>294</v>
      </c>
      <c r="P10" s="116" t="s">
        <v>181</v>
      </c>
    </row>
    <row r="11" spans="1:17" ht="16" customHeight="1">
      <c r="A11" s="107" t="s">
        <v>5</v>
      </c>
      <c r="B11" s="108" t="s">
        <v>108</v>
      </c>
      <c r="C11" s="109">
        <f t="shared" si="0"/>
        <v>4</v>
      </c>
      <c r="D11" s="110"/>
      <c r="E11" s="110"/>
      <c r="F11" s="167">
        <f t="shared" si="1"/>
        <v>4</v>
      </c>
      <c r="G11" s="112" t="s">
        <v>186</v>
      </c>
      <c r="H11" s="113">
        <v>44914</v>
      </c>
      <c r="I11" s="113">
        <v>44921</v>
      </c>
      <c r="J11" s="114" t="s">
        <v>186</v>
      </c>
      <c r="K11" s="114" t="s">
        <v>186</v>
      </c>
      <c r="L11" s="114" t="s">
        <v>186</v>
      </c>
      <c r="M11" s="114" t="s">
        <v>186</v>
      </c>
      <c r="N11" s="115" t="s">
        <v>111</v>
      </c>
      <c r="O11" s="116" t="s">
        <v>501</v>
      </c>
      <c r="P11" s="116" t="s">
        <v>181</v>
      </c>
    </row>
    <row r="12" spans="1:17" ht="16" customHeight="1">
      <c r="A12" s="107" t="s">
        <v>6</v>
      </c>
      <c r="B12" s="108" t="s">
        <v>108</v>
      </c>
      <c r="C12" s="109">
        <f t="shared" si="0"/>
        <v>4</v>
      </c>
      <c r="D12" s="110"/>
      <c r="E12" s="110"/>
      <c r="F12" s="167">
        <f t="shared" si="1"/>
        <v>4</v>
      </c>
      <c r="G12" s="112" t="s">
        <v>186</v>
      </c>
      <c r="H12" s="113">
        <v>44896</v>
      </c>
      <c r="I12" s="113" t="s">
        <v>120</v>
      </c>
      <c r="J12" s="115" t="s">
        <v>186</v>
      </c>
      <c r="K12" s="115" t="s">
        <v>186</v>
      </c>
      <c r="L12" s="115" t="s">
        <v>186</v>
      </c>
      <c r="M12" s="115" t="s">
        <v>186</v>
      </c>
      <c r="N12" s="115" t="s">
        <v>535</v>
      </c>
      <c r="O12" s="116" t="s">
        <v>295</v>
      </c>
      <c r="P12" s="116" t="s">
        <v>181</v>
      </c>
    </row>
    <row r="13" spans="1:17" ht="16" customHeight="1">
      <c r="A13" s="107" t="s">
        <v>7</v>
      </c>
      <c r="B13" s="108" t="s">
        <v>109</v>
      </c>
      <c r="C13" s="109">
        <f t="shared" si="0"/>
        <v>0</v>
      </c>
      <c r="D13" s="110"/>
      <c r="E13" s="110"/>
      <c r="F13" s="167">
        <f t="shared" si="1"/>
        <v>0</v>
      </c>
      <c r="G13" s="112" t="s">
        <v>242</v>
      </c>
      <c r="H13" s="113">
        <v>44914</v>
      </c>
      <c r="I13" s="113">
        <v>44936</v>
      </c>
      <c r="J13" s="114" t="s">
        <v>186</v>
      </c>
      <c r="K13" s="114" t="s">
        <v>186</v>
      </c>
      <c r="L13" s="114" t="s">
        <v>186</v>
      </c>
      <c r="M13" s="114" t="s">
        <v>186</v>
      </c>
      <c r="N13" s="115" t="s">
        <v>297</v>
      </c>
      <c r="O13" s="116" t="s">
        <v>296</v>
      </c>
      <c r="P13" s="116" t="s">
        <v>168</v>
      </c>
    </row>
    <row r="14" spans="1:17" ht="16" customHeight="1">
      <c r="A14" s="107" t="s">
        <v>8</v>
      </c>
      <c r="B14" s="108" t="s">
        <v>108</v>
      </c>
      <c r="C14" s="109">
        <f t="shared" si="0"/>
        <v>4</v>
      </c>
      <c r="D14" s="110"/>
      <c r="E14" s="110"/>
      <c r="F14" s="167">
        <f t="shared" si="1"/>
        <v>4</v>
      </c>
      <c r="G14" s="112" t="s">
        <v>186</v>
      </c>
      <c r="H14" s="113">
        <v>44914</v>
      </c>
      <c r="I14" s="113">
        <v>44916</v>
      </c>
      <c r="J14" s="114" t="s">
        <v>186</v>
      </c>
      <c r="K14" s="114" t="s">
        <v>186</v>
      </c>
      <c r="L14" s="114" t="s">
        <v>186</v>
      </c>
      <c r="M14" s="114" t="s">
        <v>186</v>
      </c>
      <c r="N14" s="115" t="s">
        <v>111</v>
      </c>
      <c r="O14" s="116" t="s">
        <v>502</v>
      </c>
      <c r="P14" s="116" t="s">
        <v>181</v>
      </c>
    </row>
    <row r="15" spans="1:17" ht="16" customHeight="1">
      <c r="A15" s="107" t="s">
        <v>9</v>
      </c>
      <c r="B15" s="108" t="s">
        <v>108</v>
      </c>
      <c r="C15" s="109">
        <f t="shared" si="0"/>
        <v>4</v>
      </c>
      <c r="D15" s="110"/>
      <c r="E15" s="110"/>
      <c r="F15" s="167">
        <f t="shared" si="1"/>
        <v>4</v>
      </c>
      <c r="G15" s="112" t="s">
        <v>186</v>
      </c>
      <c r="H15" s="113">
        <v>44902</v>
      </c>
      <c r="I15" s="113">
        <v>44902</v>
      </c>
      <c r="J15" s="114" t="s">
        <v>186</v>
      </c>
      <c r="K15" s="114" t="s">
        <v>186</v>
      </c>
      <c r="L15" s="114" t="s">
        <v>186</v>
      </c>
      <c r="M15" s="114" t="s">
        <v>186</v>
      </c>
      <c r="N15" s="115" t="s">
        <v>111</v>
      </c>
      <c r="O15" s="116" t="s">
        <v>167</v>
      </c>
      <c r="P15" s="116" t="s">
        <v>181</v>
      </c>
    </row>
    <row r="16" spans="1:17" ht="16" customHeight="1">
      <c r="A16" s="107" t="s">
        <v>10</v>
      </c>
      <c r="B16" s="108" t="s">
        <v>108</v>
      </c>
      <c r="C16" s="109">
        <f t="shared" si="0"/>
        <v>4</v>
      </c>
      <c r="D16" s="110"/>
      <c r="E16" s="110"/>
      <c r="F16" s="167">
        <f t="shared" si="1"/>
        <v>4</v>
      </c>
      <c r="G16" s="112" t="s">
        <v>186</v>
      </c>
      <c r="H16" s="113">
        <v>44902</v>
      </c>
      <c r="I16" s="113">
        <v>44903</v>
      </c>
      <c r="J16" s="114" t="s">
        <v>186</v>
      </c>
      <c r="K16" s="114" t="s">
        <v>186</v>
      </c>
      <c r="L16" s="114" t="s">
        <v>186</v>
      </c>
      <c r="M16" s="114" t="s">
        <v>186</v>
      </c>
      <c r="N16" s="115" t="s">
        <v>111</v>
      </c>
      <c r="O16" s="116" t="s">
        <v>199</v>
      </c>
      <c r="P16" s="116" t="s">
        <v>124</v>
      </c>
      <c r="Q16" s="70" t="s">
        <v>111</v>
      </c>
    </row>
    <row r="17" spans="1:17" ht="16" customHeight="1">
      <c r="A17" s="107" t="s">
        <v>11</v>
      </c>
      <c r="B17" s="108" t="s">
        <v>108</v>
      </c>
      <c r="C17" s="109">
        <f t="shared" si="0"/>
        <v>4</v>
      </c>
      <c r="D17" s="110"/>
      <c r="E17" s="110"/>
      <c r="F17" s="167">
        <f t="shared" si="1"/>
        <v>4</v>
      </c>
      <c r="G17" s="112" t="s">
        <v>186</v>
      </c>
      <c r="H17" s="164">
        <v>44897</v>
      </c>
      <c r="I17" s="164">
        <v>44910</v>
      </c>
      <c r="J17" s="114" t="s">
        <v>186</v>
      </c>
      <c r="K17" s="114" t="s">
        <v>186</v>
      </c>
      <c r="L17" s="114" t="s">
        <v>186</v>
      </c>
      <c r="M17" s="114" t="s">
        <v>186</v>
      </c>
      <c r="N17" s="115" t="s">
        <v>111</v>
      </c>
      <c r="O17" s="116" t="s">
        <v>200</v>
      </c>
      <c r="P17" s="118" t="s">
        <v>241</v>
      </c>
      <c r="Q17" s="70" t="s">
        <v>111</v>
      </c>
    </row>
    <row r="18" spans="1:17" ht="16" customHeight="1">
      <c r="A18" s="107" t="s">
        <v>12</v>
      </c>
      <c r="B18" s="108" t="s">
        <v>108</v>
      </c>
      <c r="C18" s="109">
        <f t="shared" si="0"/>
        <v>4</v>
      </c>
      <c r="D18" s="110"/>
      <c r="E18" s="110"/>
      <c r="F18" s="167">
        <f t="shared" si="1"/>
        <v>4</v>
      </c>
      <c r="G18" s="112" t="s">
        <v>186</v>
      </c>
      <c r="H18" s="113">
        <v>44921</v>
      </c>
      <c r="I18" s="113">
        <v>44921</v>
      </c>
      <c r="J18" s="117" t="s">
        <v>186</v>
      </c>
      <c r="K18" s="117" t="s">
        <v>186</v>
      </c>
      <c r="L18" s="117" t="s">
        <v>186</v>
      </c>
      <c r="M18" s="117" t="s">
        <v>186</v>
      </c>
      <c r="N18" s="115" t="s">
        <v>111</v>
      </c>
      <c r="O18" s="116" t="s">
        <v>201</v>
      </c>
      <c r="P18" s="116" t="s">
        <v>166</v>
      </c>
    </row>
    <row r="19" spans="1:17" ht="16" customHeight="1">
      <c r="A19" s="107" t="s">
        <v>13</v>
      </c>
      <c r="B19" s="108" t="s">
        <v>108</v>
      </c>
      <c r="C19" s="109">
        <f t="shared" si="0"/>
        <v>4</v>
      </c>
      <c r="D19" s="110"/>
      <c r="E19" s="110">
        <v>0.5</v>
      </c>
      <c r="F19" s="167">
        <f t="shared" si="1"/>
        <v>2</v>
      </c>
      <c r="G19" s="112" t="s">
        <v>186</v>
      </c>
      <c r="H19" s="113">
        <v>44910</v>
      </c>
      <c r="I19" s="113" t="s">
        <v>120</v>
      </c>
      <c r="J19" s="117" t="s">
        <v>186</v>
      </c>
      <c r="K19" s="114" t="s">
        <v>186</v>
      </c>
      <c r="L19" s="114" t="s">
        <v>186</v>
      </c>
      <c r="M19" s="114" t="s">
        <v>160</v>
      </c>
      <c r="N19" s="115" t="s">
        <v>244</v>
      </c>
      <c r="O19" s="116" t="s">
        <v>298</v>
      </c>
      <c r="P19" s="116" t="s">
        <v>181</v>
      </c>
    </row>
    <row r="20" spans="1:17" ht="16" customHeight="1">
      <c r="A20" s="107" t="s">
        <v>14</v>
      </c>
      <c r="B20" s="108" t="s">
        <v>108</v>
      </c>
      <c r="C20" s="109">
        <f t="shared" si="0"/>
        <v>4</v>
      </c>
      <c r="D20" s="110"/>
      <c r="E20" s="110">
        <v>0.5</v>
      </c>
      <c r="F20" s="167">
        <f t="shared" si="1"/>
        <v>2</v>
      </c>
      <c r="G20" s="112" t="s">
        <v>186</v>
      </c>
      <c r="H20" s="113">
        <v>44918</v>
      </c>
      <c r="I20" s="113" t="s">
        <v>120</v>
      </c>
      <c r="J20" s="117" t="s">
        <v>186</v>
      </c>
      <c r="K20" s="114" t="s">
        <v>160</v>
      </c>
      <c r="L20" s="114" t="s">
        <v>111</v>
      </c>
      <c r="M20" s="114" t="s">
        <v>111</v>
      </c>
      <c r="N20" s="115" t="s">
        <v>243</v>
      </c>
      <c r="O20" s="116" t="s">
        <v>564</v>
      </c>
      <c r="P20" s="116" t="s">
        <v>181</v>
      </c>
    </row>
    <row r="21" spans="1:17" ht="16" customHeight="1">
      <c r="A21" s="107" t="s">
        <v>15</v>
      </c>
      <c r="B21" s="108" t="s">
        <v>108</v>
      </c>
      <c r="C21" s="109">
        <f t="shared" si="0"/>
        <v>4</v>
      </c>
      <c r="D21" s="110"/>
      <c r="E21" s="110"/>
      <c r="F21" s="167">
        <f t="shared" si="1"/>
        <v>4</v>
      </c>
      <c r="G21" s="112" t="s">
        <v>186</v>
      </c>
      <c r="H21" s="113">
        <v>44924</v>
      </c>
      <c r="I21" s="113">
        <v>44925</v>
      </c>
      <c r="J21" s="117" t="s">
        <v>186</v>
      </c>
      <c r="K21" s="117" t="s">
        <v>186</v>
      </c>
      <c r="L21" s="117" t="s">
        <v>186</v>
      </c>
      <c r="M21" s="117" t="s">
        <v>186</v>
      </c>
      <c r="N21" s="115" t="s">
        <v>111</v>
      </c>
      <c r="O21" s="116" t="s">
        <v>202</v>
      </c>
      <c r="P21" s="116" t="s">
        <v>503</v>
      </c>
      <c r="Q21" s="70" t="s">
        <v>111</v>
      </c>
    </row>
    <row r="22" spans="1:17" ht="16" customHeight="1">
      <c r="A22" s="107" t="s">
        <v>16</v>
      </c>
      <c r="B22" s="108" t="s">
        <v>108</v>
      </c>
      <c r="C22" s="109">
        <f t="shared" si="0"/>
        <v>4</v>
      </c>
      <c r="D22" s="110"/>
      <c r="E22" s="110"/>
      <c r="F22" s="167">
        <f t="shared" si="1"/>
        <v>4</v>
      </c>
      <c r="G22" s="112" t="s">
        <v>186</v>
      </c>
      <c r="H22" s="113">
        <v>44916</v>
      </c>
      <c r="I22" s="113">
        <v>44923</v>
      </c>
      <c r="J22" s="117" t="s">
        <v>186</v>
      </c>
      <c r="K22" s="117" t="s">
        <v>186</v>
      </c>
      <c r="L22" s="117" t="s">
        <v>186</v>
      </c>
      <c r="M22" s="117" t="s">
        <v>186</v>
      </c>
      <c r="N22" s="115" t="s">
        <v>535</v>
      </c>
      <c r="O22" s="116" t="s">
        <v>169</v>
      </c>
      <c r="P22" s="116" t="s">
        <v>166</v>
      </c>
    </row>
    <row r="23" spans="1:17" ht="16" customHeight="1">
      <c r="A23" s="107" t="s">
        <v>17</v>
      </c>
      <c r="B23" s="108" t="s">
        <v>108</v>
      </c>
      <c r="C23" s="109">
        <f t="shared" si="0"/>
        <v>4</v>
      </c>
      <c r="D23" s="110"/>
      <c r="E23" s="110"/>
      <c r="F23" s="167">
        <f t="shared" si="1"/>
        <v>4</v>
      </c>
      <c r="G23" s="112" t="s">
        <v>186</v>
      </c>
      <c r="H23" s="113">
        <v>44918</v>
      </c>
      <c r="I23" s="113">
        <v>44918</v>
      </c>
      <c r="J23" s="117" t="s">
        <v>186</v>
      </c>
      <c r="K23" s="117" t="s">
        <v>186</v>
      </c>
      <c r="L23" s="117" t="s">
        <v>186</v>
      </c>
      <c r="M23" s="117" t="s">
        <v>186</v>
      </c>
      <c r="N23" s="115" t="s">
        <v>111</v>
      </c>
      <c r="O23" s="119" t="s">
        <v>170</v>
      </c>
      <c r="P23" s="116" t="s">
        <v>166</v>
      </c>
    </row>
    <row r="24" spans="1:17" ht="16" customHeight="1">
      <c r="A24" s="107" t="s">
        <v>545</v>
      </c>
      <c r="B24" s="108" t="s">
        <v>108</v>
      </c>
      <c r="C24" s="109">
        <f t="shared" si="0"/>
        <v>4</v>
      </c>
      <c r="D24" s="110"/>
      <c r="E24" s="110"/>
      <c r="F24" s="167">
        <f t="shared" si="1"/>
        <v>4</v>
      </c>
      <c r="G24" s="112" t="s">
        <v>186</v>
      </c>
      <c r="H24" s="164">
        <v>44867</v>
      </c>
      <c r="I24" s="164">
        <v>44880</v>
      </c>
      <c r="J24" s="114" t="s">
        <v>186</v>
      </c>
      <c r="K24" s="114" t="s">
        <v>186</v>
      </c>
      <c r="L24" s="114" t="s">
        <v>186</v>
      </c>
      <c r="M24" s="114" t="s">
        <v>186</v>
      </c>
      <c r="N24" s="115" t="s">
        <v>111</v>
      </c>
      <c r="O24" s="116" t="s">
        <v>203</v>
      </c>
      <c r="P24" s="116" t="s">
        <v>209</v>
      </c>
    </row>
    <row r="25" spans="1:17" ht="16" customHeight="1">
      <c r="A25" s="120" t="s">
        <v>18</v>
      </c>
      <c r="B25" s="121"/>
      <c r="C25" s="122"/>
      <c r="D25" s="123"/>
      <c r="E25" s="124"/>
      <c r="F25" s="124"/>
      <c r="G25" s="124"/>
      <c r="H25" s="126"/>
      <c r="I25" s="126"/>
      <c r="J25" s="127"/>
      <c r="K25" s="127"/>
      <c r="L25" s="128"/>
      <c r="M25" s="128"/>
      <c r="N25" s="128"/>
      <c r="O25" s="129"/>
      <c r="P25" s="129"/>
    </row>
    <row r="26" spans="1:17" ht="16" customHeight="1">
      <c r="A26" s="107" t="s">
        <v>19</v>
      </c>
      <c r="B26" s="108" t="s">
        <v>108</v>
      </c>
      <c r="C26" s="109">
        <f t="shared" si="0"/>
        <v>4</v>
      </c>
      <c r="D26" s="110"/>
      <c r="E26" s="110"/>
      <c r="F26" s="167">
        <f t="shared" si="1"/>
        <v>4</v>
      </c>
      <c r="G26" s="112" t="s">
        <v>186</v>
      </c>
      <c r="H26" s="113">
        <v>44916</v>
      </c>
      <c r="I26" s="113" t="s">
        <v>120</v>
      </c>
      <c r="J26" s="114" t="s">
        <v>186</v>
      </c>
      <c r="K26" s="114" t="s">
        <v>186</v>
      </c>
      <c r="L26" s="114" t="s">
        <v>186</v>
      </c>
      <c r="M26" s="114" t="s">
        <v>186</v>
      </c>
      <c r="N26" s="115" t="s">
        <v>111</v>
      </c>
      <c r="O26" s="116" t="s">
        <v>504</v>
      </c>
      <c r="P26" s="116" t="s">
        <v>166</v>
      </c>
    </row>
    <row r="27" spans="1:17" ht="16" customHeight="1">
      <c r="A27" s="107" t="s">
        <v>20</v>
      </c>
      <c r="B27" s="108" t="s">
        <v>108</v>
      </c>
      <c r="C27" s="109">
        <f t="shared" si="0"/>
        <v>4</v>
      </c>
      <c r="D27" s="110"/>
      <c r="E27" s="110"/>
      <c r="F27" s="167">
        <f t="shared" si="1"/>
        <v>4</v>
      </c>
      <c r="G27" s="112" t="s">
        <v>186</v>
      </c>
      <c r="H27" s="113">
        <v>44900</v>
      </c>
      <c r="I27" s="113">
        <v>44902</v>
      </c>
      <c r="J27" s="114" t="s">
        <v>186</v>
      </c>
      <c r="K27" s="114" t="s">
        <v>186</v>
      </c>
      <c r="L27" s="114" t="s">
        <v>186</v>
      </c>
      <c r="M27" s="114" t="s">
        <v>186</v>
      </c>
      <c r="N27" s="115" t="s">
        <v>111</v>
      </c>
      <c r="O27" s="116" t="s">
        <v>299</v>
      </c>
      <c r="P27" s="116" t="s">
        <v>181</v>
      </c>
    </row>
    <row r="28" spans="1:17" ht="16" customHeight="1">
      <c r="A28" s="107" t="s">
        <v>21</v>
      </c>
      <c r="B28" s="108" t="s">
        <v>108</v>
      </c>
      <c r="C28" s="109">
        <f t="shared" si="0"/>
        <v>4</v>
      </c>
      <c r="D28" s="110"/>
      <c r="E28" s="110"/>
      <c r="F28" s="167">
        <f t="shared" si="1"/>
        <v>4</v>
      </c>
      <c r="G28" s="112" t="s">
        <v>186</v>
      </c>
      <c r="H28" s="113">
        <v>44915</v>
      </c>
      <c r="I28" s="113">
        <v>44916</v>
      </c>
      <c r="J28" s="114" t="s">
        <v>186</v>
      </c>
      <c r="K28" s="114" t="s">
        <v>186</v>
      </c>
      <c r="L28" s="114" t="s">
        <v>186</v>
      </c>
      <c r="M28" s="114" t="s">
        <v>186</v>
      </c>
      <c r="N28" s="115" t="s">
        <v>111</v>
      </c>
      <c r="O28" s="119" t="s">
        <v>139</v>
      </c>
      <c r="P28" s="116" t="s">
        <v>181</v>
      </c>
    </row>
    <row r="29" spans="1:17" ht="16" customHeight="1">
      <c r="A29" s="107" t="s">
        <v>22</v>
      </c>
      <c r="B29" s="108" t="s">
        <v>108</v>
      </c>
      <c r="C29" s="109">
        <f t="shared" si="0"/>
        <v>4</v>
      </c>
      <c r="D29" s="110"/>
      <c r="E29" s="110"/>
      <c r="F29" s="167">
        <f t="shared" si="1"/>
        <v>4</v>
      </c>
      <c r="G29" s="112" t="s">
        <v>186</v>
      </c>
      <c r="H29" s="113">
        <v>44908</v>
      </c>
      <c r="I29" s="113">
        <v>44914</v>
      </c>
      <c r="J29" s="114" t="s">
        <v>186</v>
      </c>
      <c r="K29" s="114" t="s">
        <v>186</v>
      </c>
      <c r="L29" s="114" t="s">
        <v>186</v>
      </c>
      <c r="M29" s="114" t="s">
        <v>186</v>
      </c>
      <c r="N29" s="115" t="s">
        <v>111</v>
      </c>
      <c r="O29" s="119" t="s">
        <v>300</v>
      </c>
      <c r="P29" s="116" t="s">
        <v>181</v>
      </c>
    </row>
    <row r="30" spans="1:17" ht="16" customHeight="1">
      <c r="A30" s="107" t="s">
        <v>23</v>
      </c>
      <c r="B30" s="108" t="s">
        <v>108</v>
      </c>
      <c r="C30" s="109">
        <f t="shared" si="0"/>
        <v>4</v>
      </c>
      <c r="D30" s="110"/>
      <c r="E30" s="110"/>
      <c r="F30" s="167">
        <f t="shared" si="1"/>
        <v>4</v>
      </c>
      <c r="G30" s="112" t="s">
        <v>186</v>
      </c>
      <c r="H30" s="113">
        <v>44917</v>
      </c>
      <c r="I30" s="113">
        <v>44917</v>
      </c>
      <c r="J30" s="114" t="s">
        <v>186</v>
      </c>
      <c r="K30" s="114" t="s">
        <v>186</v>
      </c>
      <c r="L30" s="114" t="s">
        <v>186</v>
      </c>
      <c r="M30" s="114" t="s">
        <v>186</v>
      </c>
      <c r="N30" s="115" t="s">
        <v>111</v>
      </c>
      <c r="O30" s="118" t="s">
        <v>140</v>
      </c>
      <c r="P30" s="116" t="s">
        <v>181</v>
      </c>
    </row>
    <row r="31" spans="1:17" ht="16" customHeight="1">
      <c r="A31" s="107" t="s">
        <v>24</v>
      </c>
      <c r="B31" s="108" t="s">
        <v>108</v>
      </c>
      <c r="C31" s="109">
        <f t="shared" si="0"/>
        <v>4</v>
      </c>
      <c r="D31" s="110"/>
      <c r="E31" s="110"/>
      <c r="F31" s="167">
        <f t="shared" si="1"/>
        <v>4</v>
      </c>
      <c r="G31" s="112" t="s">
        <v>186</v>
      </c>
      <c r="H31" s="113">
        <v>44914</v>
      </c>
      <c r="I31" s="113">
        <v>44918</v>
      </c>
      <c r="J31" s="114" t="s">
        <v>186</v>
      </c>
      <c r="K31" s="114" t="s">
        <v>186</v>
      </c>
      <c r="L31" s="114" t="s">
        <v>186</v>
      </c>
      <c r="M31" s="114" t="s">
        <v>186</v>
      </c>
      <c r="N31" s="115" t="s">
        <v>111</v>
      </c>
      <c r="O31" s="119" t="s">
        <v>505</v>
      </c>
      <c r="P31" s="116" t="s">
        <v>166</v>
      </c>
    </row>
    <row r="32" spans="1:17" ht="16" customHeight="1">
      <c r="A32" s="107" t="s">
        <v>25</v>
      </c>
      <c r="B32" s="108" t="s">
        <v>108</v>
      </c>
      <c r="C32" s="109">
        <f t="shared" si="0"/>
        <v>4</v>
      </c>
      <c r="D32" s="110"/>
      <c r="E32" s="110"/>
      <c r="F32" s="167">
        <f t="shared" si="1"/>
        <v>4</v>
      </c>
      <c r="G32" s="112" t="s">
        <v>186</v>
      </c>
      <c r="H32" s="113">
        <v>44915</v>
      </c>
      <c r="I32" s="113">
        <v>44915</v>
      </c>
      <c r="J32" s="114" t="s">
        <v>186</v>
      </c>
      <c r="K32" s="114" t="s">
        <v>186</v>
      </c>
      <c r="L32" s="114" t="s">
        <v>186</v>
      </c>
      <c r="M32" s="114" t="s">
        <v>186</v>
      </c>
      <c r="N32" s="115" t="s">
        <v>111</v>
      </c>
      <c r="O32" s="118" t="s">
        <v>171</v>
      </c>
      <c r="P32" s="116" t="s">
        <v>166</v>
      </c>
    </row>
    <row r="33" spans="1:17" ht="16" customHeight="1">
      <c r="A33" s="107" t="s">
        <v>26</v>
      </c>
      <c r="B33" s="108" t="s">
        <v>108</v>
      </c>
      <c r="C33" s="109">
        <f t="shared" si="0"/>
        <v>4</v>
      </c>
      <c r="D33" s="110"/>
      <c r="E33" s="110"/>
      <c r="F33" s="167">
        <f>C33*(1-D33)*(1-E33)</f>
        <v>4</v>
      </c>
      <c r="G33" s="112" t="s">
        <v>186</v>
      </c>
      <c r="H33" s="113">
        <v>44917</v>
      </c>
      <c r="I33" s="113">
        <v>44921</v>
      </c>
      <c r="J33" s="114" t="s">
        <v>186</v>
      </c>
      <c r="K33" s="114" t="s">
        <v>186</v>
      </c>
      <c r="L33" s="114" t="s">
        <v>186</v>
      </c>
      <c r="M33" s="114" t="s">
        <v>186</v>
      </c>
      <c r="N33" s="115" t="s">
        <v>111</v>
      </c>
      <c r="O33" s="118" t="s">
        <v>506</v>
      </c>
      <c r="P33" s="116" t="s">
        <v>166</v>
      </c>
    </row>
    <row r="34" spans="1:17" ht="16" customHeight="1">
      <c r="A34" s="107" t="s">
        <v>27</v>
      </c>
      <c r="B34" s="108" t="s">
        <v>108</v>
      </c>
      <c r="C34" s="109">
        <f t="shared" si="0"/>
        <v>4</v>
      </c>
      <c r="D34" s="110">
        <v>0.5</v>
      </c>
      <c r="E34" s="110">
        <v>0.5</v>
      </c>
      <c r="F34" s="111">
        <f t="shared" si="1"/>
        <v>1</v>
      </c>
      <c r="G34" s="112" t="s">
        <v>186</v>
      </c>
      <c r="H34" s="113">
        <v>44924</v>
      </c>
      <c r="I34" s="130" t="s">
        <v>111</v>
      </c>
      <c r="J34" s="117" t="s">
        <v>186</v>
      </c>
      <c r="K34" s="117" t="s">
        <v>186</v>
      </c>
      <c r="L34" s="117" t="s">
        <v>111</v>
      </c>
      <c r="M34" s="117" t="s">
        <v>111</v>
      </c>
      <c r="N34" s="115" t="s">
        <v>537</v>
      </c>
      <c r="O34" s="118" t="s">
        <v>536</v>
      </c>
      <c r="P34" s="118" t="s">
        <v>204</v>
      </c>
      <c r="Q34" s="70" t="s">
        <v>111</v>
      </c>
    </row>
    <row r="35" spans="1:17" ht="16" customHeight="1">
      <c r="A35" s="107" t="s">
        <v>546</v>
      </c>
      <c r="B35" s="108" t="s">
        <v>108</v>
      </c>
      <c r="C35" s="109">
        <f t="shared" si="0"/>
        <v>4</v>
      </c>
      <c r="D35" s="110"/>
      <c r="E35" s="110"/>
      <c r="F35" s="111">
        <f t="shared" si="1"/>
        <v>4</v>
      </c>
      <c r="G35" s="112" t="s">
        <v>186</v>
      </c>
      <c r="H35" s="113">
        <v>44888</v>
      </c>
      <c r="I35" s="113">
        <v>44895</v>
      </c>
      <c r="J35" s="114" t="s">
        <v>186</v>
      </c>
      <c r="K35" s="114" t="s">
        <v>186</v>
      </c>
      <c r="L35" s="114" t="s">
        <v>186</v>
      </c>
      <c r="M35" s="114" t="s">
        <v>186</v>
      </c>
      <c r="N35" s="115" t="s">
        <v>111</v>
      </c>
      <c r="O35" s="118" t="s">
        <v>179</v>
      </c>
      <c r="P35" s="116" t="s">
        <v>166</v>
      </c>
    </row>
    <row r="36" spans="1:17" ht="16" customHeight="1">
      <c r="A36" s="107" t="s">
        <v>28</v>
      </c>
      <c r="B36" s="108" t="s">
        <v>108</v>
      </c>
      <c r="C36" s="109">
        <f t="shared" si="0"/>
        <v>4</v>
      </c>
      <c r="D36" s="110"/>
      <c r="E36" s="110"/>
      <c r="F36" s="111">
        <f t="shared" si="1"/>
        <v>4</v>
      </c>
      <c r="G36" s="112" t="s">
        <v>186</v>
      </c>
      <c r="H36" s="113">
        <v>44917</v>
      </c>
      <c r="I36" s="113" t="s">
        <v>120</v>
      </c>
      <c r="J36" s="114" t="s">
        <v>186</v>
      </c>
      <c r="K36" s="114" t="s">
        <v>186</v>
      </c>
      <c r="L36" s="114" t="s">
        <v>186</v>
      </c>
      <c r="M36" s="114" t="s">
        <v>186</v>
      </c>
      <c r="N36" s="115" t="s">
        <v>111</v>
      </c>
      <c r="O36" s="119" t="s">
        <v>125</v>
      </c>
      <c r="P36" s="116" t="s">
        <v>181</v>
      </c>
    </row>
    <row r="37" spans="1:17" ht="16" customHeight="1">
      <c r="A37" s="120" t="s">
        <v>29</v>
      </c>
      <c r="B37" s="121"/>
      <c r="C37" s="122"/>
      <c r="D37" s="123"/>
      <c r="E37" s="124"/>
      <c r="F37" s="125"/>
      <c r="G37" s="125"/>
      <c r="H37" s="126"/>
      <c r="I37" s="126"/>
      <c r="J37" s="128"/>
      <c r="K37" s="128"/>
      <c r="L37" s="128"/>
      <c r="M37" s="128"/>
      <c r="N37" s="128"/>
      <c r="O37" s="129"/>
      <c r="P37" s="129"/>
    </row>
    <row r="38" spans="1:17" ht="16" customHeight="1">
      <c r="A38" s="107" t="s">
        <v>30</v>
      </c>
      <c r="B38" s="108" t="s">
        <v>108</v>
      </c>
      <c r="C38" s="109">
        <f t="shared" si="0"/>
        <v>4</v>
      </c>
      <c r="D38" s="110"/>
      <c r="E38" s="110"/>
      <c r="F38" s="111">
        <f t="shared" si="1"/>
        <v>4</v>
      </c>
      <c r="G38" s="112" t="s">
        <v>186</v>
      </c>
      <c r="H38" s="113">
        <v>44907</v>
      </c>
      <c r="I38" s="113">
        <v>44907</v>
      </c>
      <c r="J38" s="131" t="s">
        <v>186</v>
      </c>
      <c r="K38" s="114" t="s">
        <v>186</v>
      </c>
      <c r="L38" s="114" t="s">
        <v>186</v>
      </c>
      <c r="M38" s="114" t="s">
        <v>186</v>
      </c>
      <c r="N38" s="115" t="s">
        <v>111</v>
      </c>
      <c r="O38" s="119" t="s">
        <v>301</v>
      </c>
      <c r="P38" s="116" t="s">
        <v>181</v>
      </c>
    </row>
    <row r="39" spans="1:17" ht="16" customHeight="1">
      <c r="A39" s="107" t="s">
        <v>31</v>
      </c>
      <c r="B39" s="108" t="s">
        <v>108</v>
      </c>
      <c r="C39" s="109">
        <f t="shared" si="0"/>
        <v>4</v>
      </c>
      <c r="D39" s="110"/>
      <c r="E39" s="110"/>
      <c r="F39" s="111">
        <f t="shared" si="1"/>
        <v>4</v>
      </c>
      <c r="G39" s="112" t="s">
        <v>186</v>
      </c>
      <c r="H39" s="113">
        <v>44910</v>
      </c>
      <c r="I39" s="113" t="s">
        <v>120</v>
      </c>
      <c r="J39" s="114" t="s">
        <v>186</v>
      </c>
      <c r="K39" s="114" t="s">
        <v>186</v>
      </c>
      <c r="L39" s="114" t="s">
        <v>186</v>
      </c>
      <c r="M39" s="114" t="s">
        <v>186</v>
      </c>
      <c r="N39" s="115" t="s">
        <v>111</v>
      </c>
      <c r="O39" s="119" t="s">
        <v>126</v>
      </c>
      <c r="P39" s="116" t="s">
        <v>181</v>
      </c>
    </row>
    <row r="40" spans="1:17" ht="16" customHeight="1">
      <c r="A40" s="107" t="s">
        <v>87</v>
      </c>
      <c r="B40" s="108" t="s">
        <v>108</v>
      </c>
      <c r="C40" s="109">
        <f t="shared" si="0"/>
        <v>4</v>
      </c>
      <c r="D40" s="110"/>
      <c r="E40" s="110"/>
      <c r="F40" s="111">
        <f t="shared" si="1"/>
        <v>4</v>
      </c>
      <c r="G40" s="112" t="s">
        <v>186</v>
      </c>
      <c r="H40" s="113">
        <v>44910</v>
      </c>
      <c r="I40" s="113">
        <v>44911</v>
      </c>
      <c r="J40" s="114" t="s">
        <v>186</v>
      </c>
      <c r="K40" s="114" t="s">
        <v>186</v>
      </c>
      <c r="L40" s="114" t="s">
        <v>186</v>
      </c>
      <c r="M40" s="114" t="s">
        <v>186</v>
      </c>
      <c r="N40" s="115" t="s">
        <v>111</v>
      </c>
      <c r="O40" s="118" t="s">
        <v>302</v>
      </c>
      <c r="P40" s="116" t="s">
        <v>166</v>
      </c>
      <c r="Q40" s="70" t="s">
        <v>111</v>
      </c>
    </row>
    <row r="41" spans="1:17" ht="16" customHeight="1">
      <c r="A41" s="107" t="s">
        <v>32</v>
      </c>
      <c r="B41" s="108" t="s">
        <v>108</v>
      </c>
      <c r="C41" s="109">
        <f t="shared" si="0"/>
        <v>4</v>
      </c>
      <c r="D41" s="110"/>
      <c r="E41" s="110"/>
      <c r="F41" s="111">
        <f t="shared" si="1"/>
        <v>4</v>
      </c>
      <c r="G41" s="112" t="s">
        <v>186</v>
      </c>
      <c r="H41" s="113">
        <v>44918</v>
      </c>
      <c r="I41" s="113">
        <v>44921</v>
      </c>
      <c r="J41" s="114" t="s">
        <v>186</v>
      </c>
      <c r="K41" s="114" t="s">
        <v>186</v>
      </c>
      <c r="L41" s="114" t="s">
        <v>186</v>
      </c>
      <c r="M41" s="114" t="s">
        <v>186</v>
      </c>
      <c r="N41" s="115" t="s">
        <v>111</v>
      </c>
      <c r="O41" s="118" t="s">
        <v>508</v>
      </c>
      <c r="P41" s="116" t="s">
        <v>166</v>
      </c>
    </row>
    <row r="42" spans="1:17" ht="16" customHeight="1">
      <c r="A42" s="107" t="s">
        <v>33</v>
      </c>
      <c r="B42" s="108" t="s">
        <v>108</v>
      </c>
      <c r="C42" s="109">
        <f t="shared" si="0"/>
        <v>4</v>
      </c>
      <c r="D42" s="110"/>
      <c r="E42" s="110"/>
      <c r="F42" s="111">
        <f t="shared" si="1"/>
        <v>4</v>
      </c>
      <c r="G42" s="112" t="s">
        <v>186</v>
      </c>
      <c r="H42" s="113">
        <v>44910</v>
      </c>
      <c r="I42" s="130">
        <v>44911</v>
      </c>
      <c r="J42" s="117" t="s">
        <v>186</v>
      </c>
      <c r="K42" s="117" t="s">
        <v>186</v>
      </c>
      <c r="L42" s="114" t="s">
        <v>186</v>
      </c>
      <c r="M42" s="114" t="s">
        <v>186</v>
      </c>
      <c r="N42" s="115" t="s">
        <v>111</v>
      </c>
      <c r="O42" s="118" t="s">
        <v>303</v>
      </c>
      <c r="P42" s="116" t="s">
        <v>181</v>
      </c>
    </row>
    <row r="43" spans="1:17" ht="16" customHeight="1">
      <c r="A43" s="107" t="s">
        <v>34</v>
      </c>
      <c r="B43" s="108" t="s">
        <v>108</v>
      </c>
      <c r="C43" s="109">
        <f>IF(B43="Да, размещен ",4,0)</f>
        <v>4</v>
      </c>
      <c r="D43" s="110"/>
      <c r="E43" s="110"/>
      <c r="F43" s="111">
        <f t="shared" si="1"/>
        <v>4</v>
      </c>
      <c r="G43" s="112" t="s">
        <v>186</v>
      </c>
      <c r="H43" s="113">
        <v>44900</v>
      </c>
      <c r="I43" s="130">
        <v>44910</v>
      </c>
      <c r="J43" s="114" t="s">
        <v>186</v>
      </c>
      <c r="K43" s="114" t="s">
        <v>186</v>
      </c>
      <c r="L43" s="114" t="s">
        <v>186</v>
      </c>
      <c r="M43" s="114" t="s">
        <v>186</v>
      </c>
      <c r="N43" s="115" t="s">
        <v>539</v>
      </c>
      <c r="O43" s="118" t="s">
        <v>304</v>
      </c>
      <c r="P43" s="116" t="s">
        <v>538</v>
      </c>
      <c r="Q43" s="70" t="s">
        <v>111</v>
      </c>
    </row>
    <row r="44" spans="1:17" ht="16" customHeight="1">
      <c r="A44" s="107" t="s">
        <v>35</v>
      </c>
      <c r="B44" s="108" t="s">
        <v>108</v>
      </c>
      <c r="C44" s="109">
        <f>IF(B44="Да, размещен ",4,0)</f>
        <v>4</v>
      </c>
      <c r="D44" s="110"/>
      <c r="E44" s="110"/>
      <c r="F44" s="111">
        <f t="shared" si="1"/>
        <v>4</v>
      </c>
      <c r="G44" s="112" t="s">
        <v>186</v>
      </c>
      <c r="H44" s="113">
        <v>44911</v>
      </c>
      <c r="I44" s="113">
        <v>44911</v>
      </c>
      <c r="J44" s="114" t="s">
        <v>186</v>
      </c>
      <c r="K44" s="114" t="s">
        <v>186</v>
      </c>
      <c r="L44" s="114" t="s">
        <v>186</v>
      </c>
      <c r="M44" s="114" t="s">
        <v>186</v>
      </c>
      <c r="N44" s="115" t="s">
        <v>111</v>
      </c>
      <c r="O44" s="119" t="s">
        <v>305</v>
      </c>
      <c r="P44" s="116" t="s">
        <v>166</v>
      </c>
    </row>
    <row r="45" spans="1:17" ht="16" customHeight="1">
      <c r="A45" s="107" t="s">
        <v>222</v>
      </c>
      <c r="B45" s="108" t="s">
        <v>108</v>
      </c>
      <c r="C45" s="109">
        <f t="shared" si="0"/>
        <v>4</v>
      </c>
      <c r="D45" s="110"/>
      <c r="E45" s="110"/>
      <c r="F45" s="111">
        <f t="shared" si="1"/>
        <v>4</v>
      </c>
      <c r="G45" s="112" t="s">
        <v>186</v>
      </c>
      <c r="H45" s="164">
        <v>44915</v>
      </c>
      <c r="I45" s="164">
        <v>44935</v>
      </c>
      <c r="J45" s="114" t="s">
        <v>186</v>
      </c>
      <c r="K45" s="114" t="s">
        <v>186</v>
      </c>
      <c r="L45" s="114" t="s">
        <v>186</v>
      </c>
      <c r="M45" s="114" t="s">
        <v>186</v>
      </c>
      <c r="N45" s="115" t="s">
        <v>111</v>
      </c>
      <c r="O45" s="119" t="s">
        <v>509</v>
      </c>
      <c r="P45" s="119" t="s">
        <v>306</v>
      </c>
      <c r="Q45" s="70" t="s">
        <v>111</v>
      </c>
    </row>
    <row r="46" spans="1:17" ht="16" customHeight="1">
      <c r="A46" s="120" t="s">
        <v>36</v>
      </c>
      <c r="B46" s="121"/>
      <c r="C46" s="122"/>
      <c r="D46" s="123"/>
      <c r="E46" s="124"/>
      <c r="F46" s="125"/>
      <c r="G46" s="125"/>
      <c r="H46" s="126"/>
      <c r="I46" s="126"/>
      <c r="J46" s="127"/>
      <c r="K46" s="128"/>
      <c r="L46" s="128"/>
      <c r="M46" s="128"/>
      <c r="N46" s="128"/>
      <c r="O46" s="129"/>
      <c r="P46" s="129"/>
    </row>
    <row r="47" spans="1:17" ht="16" customHeight="1">
      <c r="A47" s="107" t="s">
        <v>37</v>
      </c>
      <c r="B47" s="108" t="s">
        <v>108</v>
      </c>
      <c r="C47" s="109">
        <f t="shared" si="0"/>
        <v>4</v>
      </c>
      <c r="D47" s="110"/>
      <c r="E47" s="110">
        <v>0.5</v>
      </c>
      <c r="F47" s="111">
        <f t="shared" si="1"/>
        <v>2</v>
      </c>
      <c r="G47" s="112" t="s">
        <v>186</v>
      </c>
      <c r="H47" s="113">
        <v>44907</v>
      </c>
      <c r="I47" s="113" t="s">
        <v>120</v>
      </c>
      <c r="J47" s="114" t="s">
        <v>186</v>
      </c>
      <c r="K47" s="114" t="s">
        <v>160</v>
      </c>
      <c r="L47" s="114" t="s">
        <v>111</v>
      </c>
      <c r="M47" s="114" t="s">
        <v>111</v>
      </c>
      <c r="N47" s="115" t="s">
        <v>243</v>
      </c>
      <c r="O47" s="118" t="s">
        <v>161</v>
      </c>
      <c r="P47" s="118" t="s">
        <v>540</v>
      </c>
      <c r="Q47" s="70" t="s">
        <v>111</v>
      </c>
    </row>
    <row r="48" spans="1:17" ht="16" customHeight="1">
      <c r="A48" s="107" t="s">
        <v>38</v>
      </c>
      <c r="B48" s="108" t="s">
        <v>109</v>
      </c>
      <c r="C48" s="109">
        <f>IF(B48="Да, размещен ",4,0)</f>
        <v>0</v>
      </c>
      <c r="D48" s="110"/>
      <c r="E48" s="110"/>
      <c r="F48" s="111">
        <f t="shared" si="1"/>
        <v>0</v>
      </c>
      <c r="G48" s="112" t="s">
        <v>507</v>
      </c>
      <c r="H48" s="113">
        <v>44922</v>
      </c>
      <c r="I48" s="113" t="s">
        <v>111</v>
      </c>
      <c r="J48" s="170" t="s">
        <v>111</v>
      </c>
      <c r="K48" s="170" t="s">
        <v>111</v>
      </c>
      <c r="L48" s="170" t="s">
        <v>111</v>
      </c>
      <c r="M48" s="170" t="s">
        <v>111</v>
      </c>
      <c r="N48" s="115" t="s">
        <v>510</v>
      </c>
      <c r="O48" s="118" t="s">
        <v>511</v>
      </c>
      <c r="P48" s="116" t="s">
        <v>181</v>
      </c>
    </row>
    <row r="49" spans="1:17" ht="16" customHeight="1">
      <c r="A49" s="107" t="s">
        <v>39</v>
      </c>
      <c r="B49" s="108" t="s">
        <v>108</v>
      </c>
      <c r="C49" s="109">
        <f t="shared" si="0"/>
        <v>4</v>
      </c>
      <c r="D49" s="110"/>
      <c r="E49" s="110"/>
      <c r="F49" s="111">
        <f t="shared" si="1"/>
        <v>4</v>
      </c>
      <c r="G49" s="112" t="s">
        <v>186</v>
      </c>
      <c r="H49" s="113">
        <v>44924</v>
      </c>
      <c r="I49" s="113" t="s">
        <v>120</v>
      </c>
      <c r="J49" s="114" t="s">
        <v>186</v>
      </c>
      <c r="K49" s="114" t="s">
        <v>186</v>
      </c>
      <c r="L49" s="114" t="s">
        <v>186</v>
      </c>
      <c r="M49" s="114" t="s">
        <v>186</v>
      </c>
      <c r="N49" s="115" t="s">
        <v>111</v>
      </c>
      <c r="O49" s="118" t="s">
        <v>210</v>
      </c>
      <c r="P49" s="116" t="s">
        <v>181</v>
      </c>
    </row>
    <row r="50" spans="1:17" ht="16" customHeight="1">
      <c r="A50" s="107" t="s">
        <v>40</v>
      </c>
      <c r="B50" s="108" t="s">
        <v>108</v>
      </c>
      <c r="C50" s="109">
        <f t="shared" si="0"/>
        <v>4</v>
      </c>
      <c r="D50" s="110"/>
      <c r="E50" s="110"/>
      <c r="F50" s="111">
        <f t="shared" si="1"/>
        <v>4</v>
      </c>
      <c r="G50" s="112" t="s">
        <v>186</v>
      </c>
      <c r="H50" s="113">
        <v>44924</v>
      </c>
      <c r="I50" s="130">
        <v>44925</v>
      </c>
      <c r="J50" s="114" t="s">
        <v>186</v>
      </c>
      <c r="K50" s="114" t="s">
        <v>186</v>
      </c>
      <c r="L50" s="114" t="s">
        <v>186</v>
      </c>
      <c r="M50" s="114" t="s">
        <v>186</v>
      </c>
      <c r="N50" s="115" t="s">
        <v>111</v>
      </c>
      <c r="O50" s="118" t="s">
        <v>512</v>
      </c>
      <c r="P50" s="116" t="s">
        <v>181</v>
      </c>
    </row>
    <row r="51" spans="1:17" ht="16" customHeight="1">
      <c r="A51" s="107" t="s">
        <v>547</v>
      </c>
      <c r="B51" s="108" t="s">
        <v>108</v>
      </c>
      <c r="C51" s="109">
        <f t="shared" si="0"/>
        <v>4</v>
      </c>
      <c r="D51" s="110"/>
      <c r="E51" s="110"/>
      <c r="F51" s="111">
        <f t="shared" si="1"/>
        <v>4</v>
      </c>
      <c r="G51" s="112" t="s">
        <v>186</v>
      </c>
      <c r="H51" s="113">
        <v>44921</v>
      </c>
      <c r="I51" s="113">
        <v>44937</v>
      </c>
      <c r="J51" s="114" t="s">
        <v>186</v>
      </c>
      <c r="K51" s="114" t="s">
        <v>186</v>
      </c>
      <c r="L51" s="114" t="s">
        <v>186</v>
      </c>
      <c r="M51" s="114" t="s">
        <v>186</v>
      </c>
      <c r="N51" s="115" t="s">
        <v>111</v>
      </c>
      <c r="O51" s="118" t="s">
        <v>307</v>
      </c>
      <c r="P51" s="116" t="s">
        <v>181</v>
      </c>
    </row>
    <row r="52" spans="1:17" ht="16" customHeight="1">
      <c r="A52" s="107" t="s">
        <v>41</v>
      </c>
      <c r="B52" s="108" t="s">
        <v>109</v>
      </c>
      <c r="C52" s="109">
        <f t="shared" si="0"/>
        <v>0</v>
      </c>
      <c r="D52" s="110"/>
      <c r="E52" s="110"/>
      <c r="F52" s="111">
        <f t="shared" si="1"/>
        <v>0</v>
      </c>
      <c r="G52" s="112" t="s">
        <v>513</v>
      </c>
      <c r="H52" s="113">
        <v>44922</v>
      </c>
      <c r="I52" s="113" t="s">
        <v>111</v>
      </c>
      <c r="J52" s="171" t="s">
        <v>111</v>
      </c>
      <c r="K52" s="171" t="s">
        <v>111</v>
      </c>
      <c r="L52" s="171" t="s">
        <v>111</v>
      </c>
      <c r="M52" s="171" t="s">
        <v>111</v>
      </c>
      <c r="N52" s="115" t="s">
        <v>510</v>
      </c>
      <c r="O52" s="118" t="s">
        <v>514</v>
      </c>
      <c r="P52" s="118" t="s">
        <v>515</v>
      </c>
      <c r="Q52" s="70" t="s">
        <v>111</v>
      </c>
    </row>
    <row r="53" spans="1:17" ht="16" customHeight="1">
      <c r="A53" s="107" t="s">
        <v>42</v>
      </c>
      <c r="B53" s="108" t="s">
        <v>108</v>
      </c>
      <c r="C53" s="109">
        <f t="shared" si="0"/>
        <v>4</v>
      </c>
      <c r="D53" s="110"/>
      <c r="E53" s="110"/>
      <c r="F53" s="111">
        <f t="shared" si="1"/>
        <v>4</v>
      </c>
      <c r="G53" s="112" t="s">
        <v>186</v>
      </c>
      <c r="H53" s="113">
        <v>44904</v>
      </c>
      <c r="I53" s="113" t="s">
        <v>120</v>
      </c>
      <c r="J53" s="114" t="s">
        <v>186</v>
      </c>
      <c r="K53" s="114" t="s">
        <v>186</v>
      </c>
      <c r="L53" s="114" t="s">
        <v>186</v>
      </c>
      <c r="M53" s="114" t="s">
        <v>186</v>
      </c>
      <c r="N53" s="115" t="s">
        <v>111</v>
      </c>
      <c r="O53" s="118" t="s">
        <v>172</v>
      </c>
      <c r="P53" s="116" t="s">
        <v>166</v>
      </c>
    </row>
    <row r="54" spans="1:17" ht="16" customHeight="1">
      <c r="A54" s="120" t="s">
        <v>43</v>
      </c>
      <c r="B54" s="121"/>
      <c r="C54" s="122"/>
      <c r="D54" s="123"/>
      <c r="E54" s="124"/>
      <c r="F54" s="125"/>
      <c r="G54" s="125"/>
      <c r="H54" s="126"/>
      <c r="I54" s="126"/>
      <c r="J54" s="128"/>
      <c r="K54" s="128"/>
      <c r="L54" s="128"/>
      <c r="M54" s="128"/>
      <c r="N54" s="128"/>
      <c r="O54" s="129"/>
      <c r="P54" s="129"/>
    </row>
    <row r="55" spans="1:17" ht="16" customHeight="1">
      <c r="A55" s="107" t="s">
        <v>44</v>
      </c>
      <c r="B55" s="108" t="s">
        <v>108</v>
      </c>
      <c r="C55" s="109">
        <f t="shared" si="0"/>
        <v>4</v>
      </c>
      <c r="D55" s="110"/>
      <c r="E55" s="110"/>
      <c r="F55" s="111">
        <f t="shared" si="1"/>
        <v>4</v>
      </c>
      <c r="G55" s="112" t="s">
        <v>186</v>
      </c>
      <c r="H55" s="113">
        <v>44914</v>
      </c>
      <c r="I55" s="113">
        <v>44914</v>
      </c>
      <c r="J55" s="114" t="s">
        <v>186</v>
      </c>
      <c r="K55" s="114" t="s">
        <v>186</v>
      </c>
      <c r="L55" s="114" t="s">
        <v>186</v>
      </c>
      <c r="M55" s="114" t="s">
        <v>186</v>
      </c>
      <c r="N55" s="115" t="s">
        <v>111</v>
      </c>
      <c r="O55" s="118" t="s">
        <v>308</v>
      </c>
      <c r="P55" s="116" t="s">
        <v>181</v>
      </c>
    </row>
    <row r="56" spans="1:17" ht="16" customHeight="1">
      <c r="A56" s="107" t="s">
        <v>548</v>
      </c>
      <c r="B56" s="108" t="s">
        <v>108</v>
      </c>
      <c r="C56" s="109">
        <f t="shared" si="0"/>
        <v>4</v>
      </c>
      <c r="D56" s="110"/>
      <c r="E56" s="110"/>
      <c r="F56" s="111">
        <f t="shared" si="1"/>
        <v>4</v>
      </c>
      <c r="G56" s="112" t="s">
        <v>186</v>
      </c>
      <c r="H56" s="113">
        <v>44900</v>
      </c>
      <c r="I56" s="113">
        <v>44904</v>
      </c>
      <c r="J56" s="114" t="s">
        <v>186</v>
      </c>
      <c r="K56" s="114" t="s">
        <v>186</v>
      </c>
      <c r="L56" s="114" t="s">
        <v>186</v>
      </c>
      <c r="M56" s="114" t="s">
        <v>186</v>
      </c>
      <c r="N56" s="115" t="s">
        <v>111</v>
      </c>
      <c r="O56" s="118" t="s">
        <v>516</v>
      </c>
      <c r="P56" s="116" t="s">
        <v>181</v>
      </c>
    </row>
    <row r="57" spans="1:17" s="30" customFormat="1" ht="16" customHeight="1">
      <c r="A57" s="107" t="s">
        <v>45</v>
      </c>
      <c r="B57" s="108" t="s">
        <v>108</v>
      </c>
      <c r="C57" s="109">
        <f t="shared" si="0"/>
        <v>4</v>
      </c>
      <c r="D57" s="110"/>
      <c r="E57" s="110">
        <v>0.5</v>
      </c>
      <c r="F57" s="111">
        <f t="shared" si="1"/>
        <v>2</v>
      </c>
      <c r="G57" s="112" t="s">
        <v>186</v>
      </c>
      <c r="H57" s="113">
        <v>44923</v>
      </c>
      <c r="I57" s="113" t="s">
        <v>120</v>
      </c>
      <c r="J57" s="117" t="s">
        <v>186</v>
      </c>
      <c r="K57" s="117" t="s">
        <v>160</v>
      </c>
      <c r="L57" s="117" t="s">
        <v>111</v>
      </c>
      <c r="M57" s="117" t="s">
        <v>111</v>
      </c>
      <c r="N57" s="115" t="s">
        <v>243</v>
      </c>
      <c r="O57" s="118" t="s">
        <v>517</v>
      </c>
      <c r="P57" s="116" t="s">
        <v>181</v>
      </c>
      <c r="Q57" s="70"/>
    </row>
    <row r="58" spans="1:17" ht="16" customHeight="1">
      <c r="A58" s="107" t="s">
        <v>46</v>
      </c>
      <c r="B58" s="108" t="s">
        <v>108</v>
      </c>
      <c r="C58" s="109">
        <f t="shared" si="0"/>
        <v>4</v>
      </c>
      <c r="D58" s="110"/>
      <c r="E58" s="110"/>
      <c r="F58" s="111">
        <f t="shared" si="1"/>
        <v>4</v>
      </c>
      <c r="G58" s="112" t="s">
        <v>186</v>
      </c>
      <c r="H58" s="113">
        <v>44888</v>
      </c>
      <c r="I58" s="113" t="s">
        <v>120</v>
      </c>
      <c r="J58" s="114" t="s">
        <v>186</v>
      </c>
      <c r="K58" s="114" t="s">
        <v>186</v>
      </c>
      <c r="L58" s="114" t="s">
        <v>186</v>
      </c>
      <c r="M58" s="114" t="s">
        <v>186</v>
      </c>
      <c r="N58" s="115" t="s">
        <v>111</v>
      </c>
      <c r="O58" s="118" t="s">
        <v>309</v>
      </c>
      <c r="P58" s="116" t="s">
        <v>181</v>
      </c>
    </row>
    <row r="59" spans="1:17" ht="16" customHeight="1">
      <c r="A59" s="107" t="s">
        <v>47</v>
      </c>
      <c r="B59" s="108" t="s">
        <v>108</v>
      </c>
      <c r="C59" s="109">
        <f t="shared" si="0"/>
        <v>4</v>
      </c>
      <c r="D59" s="110"/>
      <c r="E59" s="110"/>
      <c r="F59" s="111">
        <f t="shared" si="1"/>
        <v>4</v>
      </c>
      <c r="G59" s="112" t="s">
        <v>186</v>
      </c>
      <c r="H59" s="113">
        <v>44921</v>
      </c>
      <c r="I59" s="113" t="s">
        <v>120</v>
      </c>
      <c r="J59" s="114" t="s">
        <v>186</v>
      </c>
      <c r="K59" s="114" t="s">
        <v>186</v>
      </c>
      <c r="L59" s="114" t="s">
        <v>186</v>
      </c>
      <c r="M59" s="114" t="s">
        <v>186</v>
      </c>
      <c r="N59" s="115" t="s">
        <v>111</v>
      </c>
      <c r="O59" s="118" t="s">
        <v>518</v>
      </c>
      <c r="P59" s="116" t="s">
        <v>181</v>
      </c>
    </row>
    <row r="60" spans="1:17" ht="16" customHeight="1">
      <c r="A60" s="107" t="s">
        <v>549</v>
      </c>
      <c r="B60" s="108" t="s">
        <v>108</v>
      </c>
      <c r="C60" s="109">
        <f t="shared" si="0"/>
        <v>4</v>
      </c>
      <c r="D60" s="110"/>
      <c r="E60" s="110"/>
      <c r="F60" s="111">
        <f t="shared" si="1"/>
        <v>4</v>
      </c>
      <c r="G60" s="112" t="s">
        <v>186</v>
      </c>
      <c r="H60" s="113">
        <v>44894</v>
      </c>
      <c r="I60" s="113">
        <v>44898</v>
      </c>
      <c r="J60" s="114" t="s">
        <v>186</v>
      </c>
      <c r="K60" s="114" t="s">
        <v>186</v>
      </c>
      <c r="L60" s="114" t="s">
        <v>186</v>
      </c>
      <c r="M60" s="114" t="s">
        <v>186</v>
      </c>
      <c r="N60" s="107" t="s">
        <v>541</v>
      </c>
      <c r="O60" s="118" t="s">
        <v>310</v>
      </c>
      <c r="P60" s="116" t="s">
        <v>311</v>
      </c>
      <c r="Q60" s="70" t="s">
        <v>111</v>
      </c>
    </row>
    <row r="61" spans="1:17" ht="16" customHeight="1">
      <c r="A61" s="107" t="s">
        <v>48</v>
      </c>
      <c r="B61" s="108" t="s">
        <v>108</v>
      </c>
      <c r="C61" s="109">
        <f t="shared" si="0"/>
        <v>4</v>
      </c>
      <c r="D61" s="110"/>
      <c r="E61" s="110">
        <v>0.5</v>
      </c>
      <c r="F61" s="111">
        <f t="shared" si="1"/>
        <v>2</v>
      </c>
      <c r="G61" s="112" t="s">
        <v>186</v>
      </c>
      <c r="H61" s="113">
        <v>44895</v>
      </c>
      <c r="I61" s="113">
        <v>44900</v>
      </c>
      <c r="J61" s="114" t="s">
        <v>186</v>
      </c>
      <c r="K61" s="114" t="s">
        <v>186</v>
      </c>
      <c r="L61" s="114" t="s">
        <v>186</v>
      </c>
      <c r="M61" s="114" t="s">
        <v>160</v>
      </c>
      <c r="N61" s="115" t="s">
        <v>244</v>
      </c>
      <c r="O61" s="118" t="s">
        <v>312</v>
      </c>
      <c r="P61" s="118" t="s">
        <v>313</v>
      </c>
      <c r="Q61" s="70" t="s">
        <v>111</v>
      </c>
    </row>
    <row r="62" spans="1:17" ht="16" customHeight="1">
      <c r="A62" s="107" t="s">
        <v>49</v>
      </c>
      <c r="B62" s="108" t="s">
        <v>108</v>
      </c>
      <c r="C62" s="109">
        <f t="shared" si="0"/>
        <v>4</v>
      </c>
      <c r="D62" s="110"/>
      <c r="E62" s="110"/>
      <c r="F62" s="111">
        <f t="shared" si="1"/>
        <v>4</v>
      </c>
      <c r="G62" s="112" t="s">
        <v>186</v>
      </c>
      <c r="H62" s="113">
        <v>44914</v>
      </c>
      <c r="I62" s="113">
        <v>44918</v>
      </c>
      <c r="J62" s="114" t="s">
        <v>186</v>
      </c>
      <c r="K62" s="114" t="s">
        <v>186</v>
      </c>
      <c r="L62" s="114" t="s">
        <v>186</v>
      </c>
      <c r="M62" s="114" t="s">
        <v>186</v>
      </c>
      <c r="N62" s="115" t="s">
        <v>111</v>
      </c>
      <c r="O62" s="118" t="s">
        <v>519</v>
      </c>
      <c r="P62" s="116" t="s">
        <v>181</v>
      </c>
    </row>
    <row r="63" spans="1:17" ht="16" customHeight="1">
      <c r="A63" s="107" t="s">
        <v>550</v>
      </c>
      <c r="B63" s="108" t="s">
        <v>108</v>
      </c>
      <c r="C63" s="109">
        <f t="shared" si="0"/>
        <v>4</v>
      </c>
      <c r="D63" s="110"/>
      <c r="E63" s="110"/>
      <c r="F63" s="111">
        <f t="shared" si="1"/>
        <v>4</v>
      </c>
      <c r="G63" s="112" t="s">
        <v>186</v>
      </c>
      <c r="H63" s="113">
        <v>44915</v>
      </c>
      <c r="I63" s="113" t="s">
        <v>120</v>
      </c>
      <c r="J63" s="114" t="s">
        <v>186</v>
      </c>
      <c r="K63" s="114" t="s">
        <v>186</v>
      </c>
      <c r="L63" s="114" t="s">
        <v>186</v>
      </c>
      <c r="M63" s="114" t="s">
        <v>186</v>
      </c>
      <c r="N63" s="115" t="s">
        <v>111</v>
      </c>
      <c r="O63" s="119" t="s">
        <v>127</v>
      </c>
      <c r="P63" s="116" t="s">
        <v>166</v>
      </c>
    </row>
    <row r="64" spans="1:17" ht="16" customHeight="1">
      <c r="A64" s="107" t="s">
        <v>50</v>
      </c>
      <c r="B64" s="108" t="s">
        <v>108</v>
      </c>
      <c r="C64" s="109">
        <f t="shared" si="0"/>
        <v>4</v>
      </c>
      <c r="D64" s="110"/>
      <c r="E64" s="110"/>
      <c r="F64" s="111">
        <f t="shared" si="1"/>
        <v>4</v>
      </c>
      <c r="G64" s="112" t="s">
        <v>186</v>
      </c>
      <c r="H64" s="113">
        <v>44910</v>
      </c>
      <c r="I64" s="113">
        <v>44910</v>
      </c>
      <c r="J64" s="114" t="s">
        <v>186</v>
      </c>
      <c r="K64" s="114" t="s">
        <v>186</v>
      </c>
      <c r="L64" s="114" t="s">
        <v>186</v>
      </c>
      <c r="M64" s="114" t="s">
        <v>186</v>
      </c>
      <c r="N64" s="115" t="s">
        <v>111</v>
      </c>
      <c r="O64" s="118" t="s">
        <v>520</v>
      </c>
      <c r="P64" s="118" t="s">
        <v>166</v>
      </c>
    </row>
    <row r="65" spans="1:17" ht="16" customHeight="1">
      <c r="A65" s="107" t="s">
        <v>51</v>
      </c>
      <c r="B65" s="108" t="s">
        <v>108</v>
      </c>
      <c r="C65" s="109">
        <f t="shared" si="0"/>
        <v>4</v>
      </c>
      <c r="D65" s="110"/>
      <c r="E65" s="110">
        <v>0.5</v>
      </c>
      <c r="F65" s="111">
        <f t="shared" si="1"/>
        <v>2</v>
      </c>
      <c r="G65" s="112" t="s">
        <v>186</v>
      </c>
      <c r="H65" s="113">
        <v>44911</v>
      </c>
      <c r="I65" s="113" t="s">
        <v>120</v>
      </c>
      <c r="J65" s="114" t="s">
        <v>186</v>
      </c>
      <c r="K65" s="114" t="s">
        <v>186</v>
      </c>
      <c r="L65" s="114" t="s">
        <v>160</v>
      </c>
      <c r="M65" s="114" t="s">
        <v>111</v>
      </c>
      <c r="N65" s="115" t="s">
        <v>542</v>
      </c>
      <c r="O65" s="118" t="s">
        <v>128</v>
      </c>
      <c r="P65" s="116" t="s">
        <v>181</v>
      </c>
    </row>
    <row r="66" spans="1:17" ht="16" customHeight="1">
      <c r="A66" s="107" t="s">
        <v>52</v>
      </c>
      <c r="B66" s="108" t="s">
        <v>108</v>
      </c>
      <c r="C66" s="109">
        <f t="shared" si="0"/>
        <v>4</v>
      </c>
      <c r="D66" s="110"/>
      <c r="E66" s="110"/>
      <c r="F66" s="111">
        <f t="shared" si="1"/>
        <v>4</v>
      </c>
      <c r="G66" s="112" t="s">
        <v>186</v>
      </c>
      <c r="H66" s="113">
        <v>44895</v>
      </c>
      <c r="I66" s="113" t="s">
        <v>120</v>
      </c>
      <c r="J66" s="114" t="s">
        <v>186</v>
      </c>
      <c r="K66" s="114" t="s">
        <v>186</v>
      </c>
      <c r="L66" s="114" t="s">
        <v>186</v>
      </c>
      <c r="M66" s="114" t="s">
        <v>186</v>
      </c>
      <c r="N66" s="115" t="s">
        <v>111</v>
      </c>
      <c r="O66" s="118" t="s">
        <v>314</v>
      </c>
      <c r="P66" s="116" t="s">
        <v>166</v>
      </c>
    </row>
    <row r="67" spans="1:17" s="30" customFormat="1" ht="16" customHeight="1">
      <c r="A67" s="107" t="s">
        <v>53</v>
      </c>
      <c r="B67" s="108" t="s">
        <v>108</v>
      </c>
      <c r="C67" s="109">
        <f t="shared" si="0"/>
        <v>4</v>
      </c>
      <c r="D67" s="110"/>
      <c r="E67" s="110"/>
      <c r="F67" s="111">
        <f t="shared" si="1"/>
        <v>4</v>
      </c>
      <c r="G67" s="112" t="s">
        <v>186</v>
      </c>
      <c r="H67" s="113">
        <v>44895</v>
      </c>
      <c r="I67" s="113">
        <v>44897</v>
      </c>
      <c r="J67" s="117" t="s">
        <v>186</v>
      </c>
      <c r="K67" s="117" t="s">
        <v>186</v>
      </c>
      <c r="L67" s="117" t="s">
        <v>186</v>
      </c>
      <c r="M67" s="117" t="s">
        <v>186</v>
      </c>
      <c r="N67" s="115" t="s">
        <v>111</v>
      </c>
      <c r="O67" s="118" t="s">
        <v>205</v>
      </c>
      <c r="P67" s="118" t="s">
        <v>316</v>
      </c>
      <c r="Q67" s="70" t="s">
        <v>111</v>
      </c>
    </row>
    <row r="68" spans="1:17" ht="16" customHeight="1">
      <c r="A68" s="107" t="s">
        <v>54</v>
      </c>
      <c r="B68" s="108" t="s">
        <v>108</v>
      </c>
      <c r="C68" s="109">
        <f t="shared" si="0"/>
        <v>4</v>
      </c>
      <c r="D68" s="110"/>
      <c r="E68" s="110"/>
      <c r="F68" s="111">
        <f t="shared" si="1"/>
        <v>4</v>
      </c>
      <c r="G68" s="112" t="s">
        <v>186</v>
      </c>
      <c r="H68" s="113">
        <v>44903</v>
      </c>
      <c r="I68" s="113" t="s">
        <v>120</v>
      </c>
      <c r="J68" s="114" t="s">
        <v>186</v>
      </c>
      <c r="K68" s="114" t="s">
        <v>186</v>
      </c>
      <c r="L68" s="114" t="s">
        <v>186</v>
      </c>
      <c r="M68" s="114" t="s">
        <v>186</v>
      </c>
      <c r="N68" s="115" t="s">
        <v>535</v>
      </c>
      <c r="O68" s="118" t="s">
        <v>173</v>
      </c>
      <c r="P68" s="118" t="s">
        <v>315</v>
      </c>
      <c r="Q68" s="70" t="s">
        <v>111</v>
      </c>
    </row>
    <row r="69" spans="1:17" ht="16" customHeight="1">
      <c r="A69" s="120" t="s">
        <v>55</v>
      </c>
      <c r="B69" s="121"/>
      <c r="C69" s="122"/>
      <c r="D69" s="123"/>
      <c r="E69" s="124"/>
      <c r="F69" s="125"/>
      <c r="G69" s="125"/>
      <c r="H69" s="126"/>
      <c r="I69" s="126"/>
      <c r="J69" s="128"/>
      <c r="K69" s="128"/>
      <c r="L69" s="128"/>
      <c r="M69" s="128"/>
      <c r="N69" s="128"/>
      <c r="O69" s="129"/>
      <c r="P69" s="129"/>
    </row>
    <row r="70" spans="1:17" ht="16" customHeight="1">
      <c r="A70" s="107" t="s">
        <v>56</v>
      </c>
      <c r="B70" s="108" t="s">
        <v>108</v>
      </c>
      <c r="C70" s="109">
        <f t="shared" si="0"/>
        <v>4</v>
      </c>
      <c r="D70" s="110"/>
      <c r="E70" s="110">
        <v>0.5</v>
      </c>
      <c r="F70" s="111">
        <f t="shared" si="1"/>
        <v>2</v>
      </c>
      <c r="G70" s="112" t="s">
        <v>186</v>
      </c>
      <c r="H70" s="113">
        <v>44923</v>
      </c>
      <c r="I70" s="113" t="s">
        <v>120</v>
      </c>
      <c r="J70" s="114" t="s">
        <v>186</v>
      </c>
      <c r="K70" s="114" t="s">
        <v>186</v>
      </c>
      <c r="L70" s="114" t="s">
        <v>186</v>
      </c>
      <c r="M70" s="114" t="s">
        <v>160</v>
      </c>
      <c r="N70" s="115" t="s">
        <v>244</v>
      </c>
      <c r="O70" s="118" t="s">
        <v>317</v>
      </c>
      <c r="P70" s="116" t="s">
        <v>181</v>
      </c>
    </row>
    <row r="71" spans="1:17" ht="16" customHeight="1">
      <c r="A71" s="107" t="s">
        <v>57</v>
      </c>
      <c r="B71" s="108" t="s">
        <v>108</v>
      </c>
      <c r="C71" s="109">
        <f t="shared" si="0"/>
        <v>4</v>
      </c>
      <c r="D71" s="110"/>
      <c r="E71" s="110"/>
      <c r="F71" s="111">
        <f t="shared" si="1"/>
        <v>4</v>
      </c>
      <c r="G71" s="112" t="s">
        <v>186</v>
      </c>
      <c r="H71" s="113">
        <v>44902</v>
      </c>
      <c r="I71" s="113">
        <v>44908</v>
      </c>
      <c r="J71" s="114" t="s">
        <v>186</v>
      </c>
      <c r="K71" s="114" t="s">
        <v>186</v>
      </c>
      <c r="L71" s="114" t="s">
        <v>186</v>
      </c>
      <c r="M71" s="114" t="s">
        <v>186</v>
      </c>
      <c r="N71" s="115" t="s">
        <v>111</v>
      </c>
      <c r="O71" s="118" t="s">
        <v>174</v>
      </c>
      <c r="P71" s="116" t="s">
        <v>166</v>
      </c>
    </row>
    <row r="72" spans="1:17" ht="16" customHeight="1">
      <c r="A72" s="107" t="s">
        <v>58</v>
      </c>
      <c r="B72" s="108" t="s">
        <v>108</v>
      </c>
      <c r="C72" s="109">
        <f>IF(B72="Да, размещен ",4,0)</f>
        <v>4</v>
      </c>
      <c r="D72" s="110"/>
      <c r="E72" s="110"/>
      <c r="F72" s="111">
        <f t="shared" ref="F72:F86" si="2">C72*(1-D72)*(1-E72)</f>
        <v>4</v>
      </c>
      <c r="G72" s="112" t="s">
        <v>186</v>
      </c>
      <c r="H72" s="113">
        <v>44896</v>
      </c>
      <c r="I72" s="113">
        <v>44904</v>
      </c>
      <c r="J72" s="114" t="s">
        <v>186</v>
      </c>
      <c r="K72" s="114" t="s">
        <v>186</v>
      </c>
      <c r="L72" s="114" t="s">
        <v>186</v>
      </c>
      <c r="M72" s="114" t="s">
        <v>186</v>
      </c>
      <c r="N72" s="115" t="s">
        <v>111</v>
      </c>
      <c r="O72" s="118" t="s">
        <v>521</v>
      </c>
      <c r="P72" s="116" t="s">
        <v>181</v>
      </c>
    </row>
    <row r="73" spans="1:17" ht="16" customHeight="1">
      <c r="A73" s="107" t="s">
        <v>59</v>
      </c>
      <c r="B73" s="108" t="s">
        <v>108</v>
      </c>
      <c r="C73" s="109">
        <f>IF(B73="Да, размещен ",4,0)</f>
        <v>4</v>
      </c>
      <c r="D73" s="110"/>
      <c r="E73" s="110"/>
      <c r="F73" s="111">
        <f t="shared" si="2"/>
        <v>4</v>
      </c>
      <c r="G73" s="112" t="s">
        <v>186</v>
      </c>
      <c r="H73" s="113">
        <v>44922</v>
      </c>
      <c r="I73" s="113">
        <v>44936</v>
      </c>
      <c r="J73" s="114" t="s">
        <v>186</v>
      </c>
      <c r="K73" s="114" t="s">
        <v>186</v>
      </c>
      <c r="L73" s="114" t="s">
        <v>186</v>
      </c>
      <c r="M73" s="114" t="s">
        <v>186</v>
      </c>
      <c r="N73" s="115" t="s">
        <v>111</v>
      </c>
      <c r="O73" s="119" t="s">
        <v>522</v>
      </c>
      <c r="P73" s="116" t="s">
        <v>166</v>
      </c>
    </row>
    <row r="74" spans="1:17" ht="16" customHeight="1">
      <c r="A74" s="107" t="s">
        <v>551</v>
      </c>
      <c r="B74" s="108" t="s">
        <v>108</v>
      </c>
      <c r="C74" s="109">
        <f>IF(B74="Да, размещен ",4,0)</f>
        <v>4</v>
      </c>
      <c r="D74" s="110"/>
      <c r="E74" s="110"/>
      <c r="F74" s="111">
        <f t="shared" si="2"/>
        <v>4</v>
      </c>
      <c r="G74" s="112" t="s">
        <v>186</v>
      </c>
      <c r="H74" s="113">
        <v>44889</v>
      </c>
      <c r="I74" s="113">
        <v>44893</v>
      </c>
      <c r="J74" s="114" t="s">
        <v>186</v>
      </c>
      <c r="K74" s="114" t="s">
        <v>186</v>
      </c>
      <c r="L74" s="114" t="s">
        <v>186</v>
      </c>
      <c r="M74" s="114" t="s">
        <v>186</v>
      </c>
      <c r="N74" s="115" t="s">
        <v>111</v>
      </c>
      <c r="O74" s="119" t="s">
        <v>318</v>
      </c>
      <c r="P74" s="116" t="s">
        <v>181</v>
      </c>
    </row>
    <row r="75" spans="1:17" ht="16" customHeight="1">
      <c r="A75" s="107" t="s">
        <v>60</v>
      </c>
      <c r="B75" s="108" t="s">
        <v>108</v>
      </c>
      <c r="C75" s="109">
        <f>IF(B75="Да, размещен ",4,0)</f>
        <v>4</v>
      </c>
      <c r="D75" s="110"/>
      <c r="E75" s="110"/>
      <c r="F75" s="111">
        <f t="shared" si="2"/>
        <v>4</v>
      </c>
      <c r="G75" s="112" t="s">
        <v>186</v>
      </c>
      <c r="H75" s="113">
        <v>44889</v>
      </c>
      <c r="I75" s="113">
        <v>44890</v>
      </c>
      <c r="J75" s="114" t="s">
        <v>186</v>
      </c>
      <c r="K75" s="114" t="s">
        <v>186</v>
      </c>
      <c r="L75" s="114" t="s">
        <v>186</v>
      </c>
      <c r="M75" s="114" t="s">
        <v>186</v>
      </c>
      <c r="N75" s="115" t="s">
        <v>111</v>
      </c>
      <c r="O75" s="119" t="s">
        <v>523</v>
      </c>
      <c r="P75" s="116" t="s">
        <v>166</v>
      </c>
    </row>
    <row r="76" spans="1:17" ht="16" customHeight="1">
      <c r="A76" s="120" t="s">
        <v>61</v>
      </c>
      <c r="B76" s="121"/>
      <c r="C76" s="122"/>
      <c r="D76" s="123"/>
      <c r="E76" s="124"/>
      <c r="F76" s="125"/>
      <c r="G76" s="125"/>
      <c r="H76" s="126"/>
      <c r="I76" s="126"/>
      <c r="J76" s="127"/>
      <c r="K76" s="128"/>
      <c r="L76" s="128"/>
      <c r="M76" s="128"/>
      <c r="N76" s="128"/>
      <c r="O76" s="129"/>
      <c r="P76" s="129"/>
    </row>
    <row r="77" spans="1:17" ht="16" customHeight="1">
      <c r="A77" s="107" t="s">
        <v>62</v>
      </c>
      <c r="B77" s="108" t="s">
        <v>108</v>
      </c>
      <c r="C77" s="109">
        <f t="shared" ref="C77:C86" si="3">IF(B77="Да, размещен ",4,0)</f>
        <v>4</v>
      </c>
      <c r="D77" s="110"/>
      <c r="E77" s="110"/>
      <c r="F77" s="111">
        <f t="shared" si="2"/>
        <v>4</v>
      </c>
      <c r="G77" s="112" t="s">
        <v>186</v>
      </c>
      <c r="H77" s="113">
        <v>44915</v>
      </c>
      <c r="I77" s="113" t="s">
        <v>120</v>
      </c>
      <c r="J77" s="114" t="s">
        <v>186</v>
      </c>
      <c r="K77" s="114" t="s">
        <v>186</v>
      </c>
      <c r="L77" s="114" t="s">
        <v>186</v>
      </c>
      <c r="M77" s="114" t="s">
        <v>186</v>
      </c>
      <c r="N77" s="115" t="s">
        <v>111</v>
      </c>
      <c r="O77" s="119" t="s">
        <v>319</v>
      </c>
      <c r="P77" s="116" t="s">
        <v>166</v>
      </c>
    </row>
    <row r="78" spans="1:17" ht="16" customHeight="1">
      <c r="A78" s="107" t="s">
        <v>64</v>
      </c>
      <c r="B78" s="108" t="s">
        <v>108</v>
      </c>
      <c r="C78" s="109">
        <f t="shared" si="3"/>
        <v>4</v>
      </c>
      <c r="D78" s="110"/>
      <c r="E78" s="110">
        <v>0.5</v>
      </c>
      <c r="F78" s="111">
        <f t="shared" si="2"/>
        <v>2</v>
      </c>
      <c r="G78" s="112" t="s">
        <v>186</v>
      </c>
      <c r="H78" s="113">
        <v>44910</v>
      </c>
      <c r="I78" s="113">
        <v>44914</v>
      </c>
      <c r="J78" s="114" t="s">
        <v>186</v>
      </c>
      <c r="K78" s="114" t="s">
        <v>160</v>
      </c>
      <c r="L78" s="117" t="s">
        <v>111</v>
      </c>
      <c r="M78" s="117" t="s">
        <v>111</v>
      </c>
      <c r="N78" s="115" t="s">
        <v>243</v>
      </c>
      <c r="O78" s="118" t="s">
        <v>524</v>
      </c>
      <c r="P78" s="116" t="s">
        <v>181</v>
      </c>
    </row>
    <row r="79" spans="1:17" ht="16" customHeight="1">
      <c r="A79" s="107" t="s">
        <v>65</v>
      </c>
      <c r="B79" s="108" t="s">
        <v>108</v>
      </c>
      <c r="C79" s="109">
        <f t="shared" si="3"/>
        <v>4</v>
      </c>
      <c r="D79" s="110"/>
      <c r="E79" s="110"/>
      <c r="F79" s="111">
        <f t="shared" si="2"/>
        <v>4</v>
      </c>
      <c r="G79" s="112" t="s">
        <v>186</v>
      </c>
      <c r="H79" s="113">
        <v>44914</v>
      </c>
      <c r="I79" s="113">
        <v>44886</v>
      </c>
      <c r="J79" s="114" t="s">
        <v>186</v>
      </c>
      <c r="K79" s="114" t="s">
        <v>186</v>
      </c>
      <c r="L79" s="114" t="s">
        <v>186</v>
      </c>
      <c r="M79" s="114" t="s">
        <v>186</v>
      </c>
      <c r="N79" s="115" t="s">
        <v>111</v>
      </c>
      <c r="O79" s="119" t="s">
        <v>320</v>
      </c>
      <c r="P79" s="116" t="s">
        <v>181</v>
      </c>
    </row>
    <row r="80" spans="1:17" ht="16" customHeight="1">
      <c r="A80" s="107" t="s">
        <v>66</v>
      </c>
      <c r="B80" s="108" t="s">
        <v>108</v>
      </c>
      <c r="C80" s="109">
        <f t="shared" si="3"/>
        <v>4</v>
      </c>
      <c r="D80" s="110"/>
      <c r="E80" s="110"/>
      <c r="F80" s="111">
        <f t="shared" si="2"/>
        <v>4</v>
      </c>
      <c r="G80" s="112" t="s">
        <v>186</v>
      </c>
      <c r="H80" s="113">
        <v>44895</v>
      </c>
      <c r="I80" s="113" t="s">
        <v>120</v>
      </c>
      <c r="J80" s="114" t="s">
        <v>186</v>
      </c>
      <c r="K80" s="114" t="s">
        <v>186</v>
      </c>
      <c r="L80" s="114" t="s">
        <v>186</v>
      </c>
      <c r="M80" s="114" t="s">
        <v>186</v>
      </c>
      <c r="N80" s="115" t="s">
        <v>111</v>
      </c>
      <c r="O80" s="119" t="s">
        <v>321</v>
      </c>
      <c r="P80" s="116" t="s">
        <v>181</v>
      </c>
    </row>
    <row r="81" spans="1:17" ht="16" customHeight="1">
      <c r="A81" s="107" t="s">
        <v>68</v>
      </c>
      <c r="B81" s="108" t="s">
        <v>108</v>
      </c>
      <c r="C81" s="109">
        <f t="shared" si="3"/>
        <v>4</v>
      </c>
      <c r="D81" s="110"/>
      <c r="E81" s="110"/>
      <c r="F81" s="111">
        <f t="shared" si="2"/>
        <v>4</v>
      </c>
      <c r="G81" s="112" t="s">
        <v>186</v>
      </c>
      <c r="H81" s="113">
        <v>44915</v>
      </c>
      <c r="I81" s="113">
        <v>44915</v>
      </c>
      <c r="J81" s="117" t="s">
        <v>186</v>
      </c>
      <c r="K81" s="117" t="s">
        <v>186</v>
      </c>
      <c r="L81" s="117" t="s">
        <v>186</v>
      </c>
      <c r="M81" s="117" t="s">
        <v>186</v>
      </c>
      <c r="N81" s="115" t="s">
        <v>111</v>
      </c>
      <c r="O81" s="118" t="s">
        <v>141</v>
      </c>
      <c r="P81" s="116" t="s">
        <v>181</v>
      </c>
    </row>
    <row r="82" spans="1:17" ht="16" customHeight="1">
      <c r="A82" s="107" t="s">
        <v>69</v>
      </c>
      <c r="B82" s="108" t="s">
        <v>108</v>
      </c>
      <c r="C82" s="109">
        <f t="shared" si="3"/>
        <v>4</v>
      </c>
      <c r="D82" s="110"/>
      <c r="E82" s="110"/>
      <c r="F82" s="111">
        <f t="shared" si="2"/>
        <v>4</v>
      </c>
      <c r="G82" s="112" t="s">
        <v>186</v>
      </c>
      <c r="H82" s="113">
        <v>44907</v>
      </c>
      <c r="I82" s="113">
        <v>44907</v>
      </c>
      <c r="J82" s="117" t="s">
        <v>186</v>
      </c>
      <c r="K82" s="117" t="s">
        <v>186</v>
      </c>
      <c r="L82" s="117" t="s">
        <v>186</v>
      </c>
      <c r="M82" s="117" t="s">
        <v>186</v>
      </c>
      <c r="N82" s="115" t="s">
        <v>111</v>
      </c>
      <c r="O82" s="118" t="s">
        <v>206</v>
      </c>
      <c r="P82" s="118" t="s">
        <v>525</v>
      </c>
      <c r="Q82" s="70" t="s">
        <v>111</v>
      </c>
    </row>
    <row r="83" spans="1:17" ht="16" customHeight="1">
      <c r="A83" s="107" t="s">
        <v>552</v>
      </c>
      <c r="B83" s="108" t="s">
        <v>108</v>
      </c>
      <c r="C83" s="109">
        <f t="shared" si="3"/>
        <v>4</v>
      </c>
      <c r="D83" s="110"/>
      <c r="E83" s="110"/>
      <c r="F83" s="111">
        <f t="shared" si="2"/>
        <v>4</v>
      </c>
      <c r="G83" s="112" t="s">
        <v>186</v>
      </c>
      <c r="H83" s="113">
        <v>44910</v>
      </c>
      <c r="I83" s="113">
        <v>44914</v>
      </c>
      <c r="J83" s="114" t="s">
        <v>186</v>
      </c>
      <c r="K83" s="114" t="s">
        <v>186</v>
      </c>
      <c r="L83" s="114" t="s">
        <v>186</v>
      </c>
      <c r="M83" s="114" t="s">
        <v>186</v>
      </c>
      <c r="N83" s="115" t="s">
        <v>111</v>
      </c>
      <c r="O83" s="119" t="s">
        <v>526</v>
      </c>
      <c r="P83" s="116" t="s">
        <v>181</v>
      </c>
    </row>
    <row r="84" spans="1:17" ht="16" customHeight="1">
      <c r="A84" s="107" t="s">
        <v>70</v>
      </c>
      <c r="B84" s="108" t="s">
        <v>108</v>
      </c>
      <c r="C84" s="109">
        <f t="shared" si="3"/>
        <v>4</v>
      </c>
      <c r="D84" s="110"/>
      <c r="E84" s="110"/>
      <c r="F84" s="111">
        <f t="shared" si="2"/>
        <v>4</v>
      </c>
      <c r="G84" s="112" t="s">
        <v>186</v>
      </c>
      <c r="H84" s="113">
        <v>44918</v>
      </c>
      <c r="I84" s="113">
        <v>44921</v>
      </c>
      <c r="J84" s="114" t="s">
        <v>186</v>
      </c>
      <c r="K84" s="114" t="s">
        <v>186</v>
      </c>
      <c r="L84" s="114" t="s">
        <v>186</v>
      </c>
      <c r="M84" s="114" t="s">
        <v>186</v>
      </c>
      <c r="N84" s="115" t="s">
        <v>111</v>
      </c>
      <c r="O84" s="119" t="s">
        <v>175</v>
      </c>
      <c r="P84" s="116" t="s">
        <v>166</v>
      </c>
    </row>
    <row r="85" spans="1:17" ht="16" customHeight="1">
      <c r="A85" s="107" t="s">
        <v>71</v>
      </c>
      <c r="B85" s="108" t="s">
        <v>108</v>
      </c>
      <c r="C85" s="109">
        <f t="shared" si="3"/>
        <v>4</v>
      </c>
      <c r="D85" s="110"/>
      <c r="E85" s="110"/>
      <c r="F85" s="111">
        <f t="shared" si="2"/>
        <v>4</v>
      </c>
      <c r="G85" s="112" t="s">
        <v>186</v>
      </c>
      <c r="H85" s="113">
        <v>44917</v>
      </c>
      <c r="I85" s="113">
        <v>44936</v>
      </c>
      <c r="J85" s="114" t="s">
        <v>186</v>
      </c>
      <c r="K85" s="114" t="s">
        <v>186</v>
      </c>
      <c r="L85" s="114" t="s">
        <v>186</v>
      </c>
      <c r="M85" s="114" t="s">
        <v>186</v>
      </c>
      <c r="N85" s="115" t="s">
        <v>111</v>
      </c>
      <c r="O85" s="119" t="s">
        <v>527</v>
      </c>
      <c r="P85" s="116" t="s">
        <v>166</v>
      </c>
    </row>
    <row r="86" spans="1:17" ht="16" customHeight="1">
      <c r="A86" s="107" t="s">
        <v>72</v>
      </c>
      <c r="B86" s="108" t="s">
        <v>108</v>
      </c>
      <c r="C86" s="109">
        <f t="shared" si="3"/>
        <v>4</v>
      </c>
      <c r="D86" s="110"/>
      <c r="E86" s="110"/>
      <c r="F86" s="111">
        <f t="shared" si="2"/>
        <v>4</v>
      </c>
      <c r="G86" s="112" t="s">
        <v>186</v>
      </c>
      <c r="H86" s="113">
        <v>44923</v>
      </c>
      <c r="I86" s="113">
        <v>44923</v>
      </c>
      <c r="J86" s="114" t="s">
        <v>186</v>
      </c>
      <c r="K86" s="114" t="s">
        <v>186</v>
      </c>
      <c r="L86" s="114" t="s">
        <v>186</v>
      </c>
      <c r="M86" s="114" t="s">
        <v>186</v>
      </c>
      <c r="N86" s="115" t="s">
        <v>111</v>
      </c>
      <c r="O86" s="119" t="s">
        <v>322</v>
      </c>
      <c r="P86" s="116" t="s">
        <v>181</v>
      </c>
    </row>
    <row r="87" spans="1:17" ht="16" customHeight="1">
      <c r="A87" s="120" t="s">
        <v>73</v>
      </c>
      <c r="B87" s="121"/>
      <c r="C87" s="122"/>
      <c r="D87" s="123"/>
      <c r="E87" s="124"/>
      <c r="F87" s="125"/>
      <c r="G87" s="125"/>
      <c r="H87" s="126"/>
      <c r="I87" s="126"/>
      <c r="J87" s="127"/>
      <c r="K87" s="128"/>
      <c r="L87" s="128"/>
      <c r="M87" s="128"/>
      <c r="N87" s="128"/>
      <c r="O87" s="129"/>
      <c r="P87" s="129"/>
    </row>
    <row r="88" spans="1:17" ht="16" customHeight="1">
      <c r="A88" s="107" t="s">
        <v>63</v>
      </c>
      <c r="B88" s="108" t="s">
        <v>108</v>
      </c>
      <c r="C88" s="109">
        <f t="shared" ref="C88:C98" si="4">IF(B88="Да, размещен ",4,0)</f>
        <v>4</v>
      </c>
      <c r="D88" s="110"/>
      <c r="E88" s="110"/>
      <c r="F88" s="111">
        <f>C88*(1-D88)*(1-E88)</f>
        <v>4</v>
      </c>
      <c r="G88" s="112" t="s">
        <v>186</v>
      </c>
      <c r="H88" s="113">
        <v>44916</v>
      </c>
      <c r="I88" s="113" t="s">
        <v>120</v>
      </c>
      <c r="J88" s="114" t="s">
        <v>186</v>
      </c>
      <c r="K88" s="114" t="s">
        <v>186</v>
      </c>
      <c r="L88" s="114" t="s">
        <v>186</v>
      </c>
      <c r="M88" s="114" t="s">
        <v>186</v>
      </c>
      <c r="N88" s="115" t="s">
        <v>111</v>
      </c>
      <c r="O88" s="118" t="s">
        <v>323</v>
      </c>
      <c r="P88" s="116" t="s">
        <v>166</v>
      </c>
    </row>
    <row r="89" spans="1:17" ht="16" customHeight="1">
      <c r="A89" s="107" t="s">
        <v>74</v>
      </c>
      <c r="B89" s="108" t="s">
        <v>108</v>
      </c>
      <c r="C89" s="109">
        <f t="shared" si="4"/>
        <v>4</v>
      </c>
      <c r="D89" s="110"/>
      <c r="E89" s="110"/>
      <c r="F89" s="111">
        <f>C89*(1-D89)*(1-E89)</f>
        <v>4</v>
      </c>
      <c r="G89" s="112" t="s">
        <v>186</v>
      </c>
      <c r="H89" s="113">
        <v>44904</v>
      </c>
      <c r="I89" s="113">
        <v>44907</v>
      </c>
      <c r="J89" s="114" t="s">
        <v>186</v>
      </c>
      <c r="K89" s="114" t="s">
        <v>186</v>
      </c>
      <c r="L89" s="114" t="s">
        <v>186</v>
      </c>
      <c r="M89" s="114" t="s">
        <v>186</v>
      </c>
      <c r="N89" s="115" t="s">
        <v>111</v>
      </c>
      <c r="O89" s="118" t="s">
        <v>528</v>
      </c>
      <c r="P89" s="116" t="s">
        <v>166</v>
      </c>
    </row>
    <row r="90" spans="1:17" ht="16" customHeight="1">
      <c r="A90" s="107" t="s">
        <v>67</v>
      </c>
      <c r="B90" s="108" t="s">
        <v>108</v>
      </c>
      <c r="C90" s="109">
        <f t="shared" si="4"/>
        <v>4</v>
      </c>
      <c r="D90" s="110"/>
      <c r="E90" s="110"/>
      <c r="F90" s="111">
        <f>C90*(1-D90)*(1-E90)</f>
        <v>4</v>
      </c>
      <c r="G90" s="112" t="s">
        <v>186</v>
      </c>
      <c r="H90" s="113">
        <v>44917</v>
      </c>
      <c r="I90" s="113">
        <v>44924</v>
      </c>
      <c r="J90" s="114" t="s">
        <v>186</v>
      </c>
      <c r="K90" s="114" t="s">
        <v>186</v>
      </c>
      <c r="L90" s="114" t="s">
        <v>186</v>
      </c>
      <c r="M90" s="114" t="s">
        <v>186</v>
      </c>
      <c r="N90" s="115" t="s">
        <v>111</v>
      </c>
      <c r="O90" s="118" t="s">
        <v>529</v>
      </c>
      <c r="P90" s="116" t="s">
        <v>166</v>
      </c>
    </row>
    <row r="91" spans="1:17" ht="16" customHeight="1">
      <c r="A91" s="107" t="s">
        <v>75</v>
      </c>
      <c r="B91" s="108" t="s">
        <v>108</v>
      </c>
      <c r="C91" s="109">
        <f t="shared" si="4"/>
        <v>4</v>
      </c>
      <c r="D91" s="110"/>
      <c r="E91" s="110"/>
      <c r="F91" s="111">
        <f>C91*(1-D91)*(1-E91)</f>
        <v>4</v>
      </c>
      <c r="G91" s="112" t="s">
        <v>186</v>
      </c>
      <c r="H91" s="113">
        <v>44894</v>
      </c>
      <c r="I91" s="113">
        <v>44897</v>
      </c>
      <c r="J91" s="114" t="s">
        <v>186</v>
      </c>
      <c r="K91" s="114" t="s">
        <v>186</v>
      </c>
      <c r="L91" s="114" t="s">
        <v>186</v>
      </c>
      <c r="M91" s="114" t="s">
        <v>186</v>
      </c>
      <c r="N91" s="115" t="s">
        <v>111</v>
      </c>
      <c r="O91" s="119" t="s">
        <v>324</v>
      </c>
      <c r="P91" s="116" t="s">
        <v>166</v>
      </c>
    </row>
    <row r="92" spans="1:17" ht="16" customHeight="1">
      <c r="A92" s="107" t="s">
        <v>553</v>
      </c>
      <c r="B92" s="108" t="s">
        <v>108</v>
      </c>
      <c r="C92" s="109">
        <f t="shared" si="4"/>
        <v>4</v>
      </c>
      <c r="D92" s="110"/>
      <c r="E92" s="110"/>
      <c r="F92" s="111">
        <f t="shared" ref="F92:F98" si="5">C92*(1-D92)*(1-E92)</f>
        <v>4</v>
      </c>
      <c r="G92" s="112" t="s">
        <v>186</v>
      </c>
      <c r="H92" s="113">
        <v>44915</v>
      </c>
      <c r="I92" s="113">
        <v>44915</v>
      </c>
      <c r="J92" s="114" t="s">
        <v>186</v>
      </c>
      <c r="K92" s="114" t="s">
        <v>186</v>
      </c>
      <c r="L92" s="114" t="s">
        <v>186</v>
      </c>
      <c r="M92" s="114" t="s">
        <v>186</v>
      </c>
      <c r="N92" s="115" t="s">
        <v>111</v>
      </c>
      <c r="O92" s="119" t="s">
        <v>176</v>
      </c>
      <c r="P92" s="116" t="s">
        <v>530</v>
      </c>
      <c r="Q92" s="70" t="s">
        <v>111</v>
      </c>
    </row>
    <row r="93" spans="1:17" ht="16" customHeight="1">
      <c r="A93" s="107" t="s">
        <v>76</v>
      </c>
      <c r="B93" s="108" t="s">
        <v>108</v>
      </c>
      <c r="C93" s="109">
        <f t="shared" si="4"/>
        <v>4</v>
      </c>
      <c r="D93" s="110"/>
      <c r="E93" s="110"/>
      <c r="F93" s="111">
        <f t="shared" si="5"/>
        <v>4</v>
      </c>
      <c r="G93" s="112" t="s">
        <v>186</v>
      </c>
      <c r="H93" s="113">
        <v>44886</v>
      </c>
      <c r="I93" s="113">
        <v>44896</v>
      </c>
      <c r="J93" s="114" t="s">
        <v>186</v>
      </c>
      <c r="K93" s="114" t="s">
        <v>186</v>
      </c>
      <c r="L93" s="114" t="s">
        <v>186</v>
      </c>
      <c r="M93" s="114" t="s">
        <v>186</v>
      </c>
      <c r="N93" s="115" t="s">
        <v>111</v>
      </c>
      <c r="O93" s="119" t="s">
        <v>531</v>
      </c>
      <c r="P93" s="116" t="s">
        <v>181</v>
      </c>
    </row>
    <row r="94" spans="1:17" ht="16" customHeight="1">
      <c r="A94" s="107" t="s">
        <v>77</v>
      </c>
      <c r="B94" s="108" t="s">
        <v>108</v>
      </c>
      <c r="C94" s="109">
        <f t="shared" si="4"/>
        <v>4</v>
      </c>
      <c r="D94" s="110"/>
      <c r="E94" s="110"/>
      <c r="F94" s="111">
        <f t="shared" si="5"/>
        <v>4</v>
      </c>
      <c r="G94" s="112" t="s">
        <v>186</v>
      </c>
      <c r="H94" s="113">
        <v>44908</v>
      </c>
      <c r="I94" s="113">
        <v>44914</v>
      </c>
      <c r="J94" s="114" t="s">
        <v>186</v>
      </c>
      <c r="K94" s="114" t="s">
        <v>186</v>
      </c>
      <c r="L94" s="114" t="s">
        <v>186</v>
      </c>
      <c r="M94" s="114" t="s">
        <v>186</v>
      </c>
      <c r="N94" s="115" t="s">
        <v>111</v>
      </c>
      <c r="O94" s="118" t="s">
        <v>177</v>
      </c>
      <c r="P94" s="118" t="s">
        <v>325</v>
      </c>
      <c r="Q94" s="70" t="s">
        <v>111</v>
      </c>
    </row>
    <row r="95" spans="1:17" ht="16" customHeight="1">
      <c r="A95" s="107" t="s">
        <v>78</v>
      </c>
      <c r="B95" s="108" t="s">
        <v>108</v>
      </c>
      <c r="C95" s="109">
        <f t="shared" si="4"/>
        <v>4</v>
      </c>
      <c r="D95" s="110"/>
      <c r="E95" s="110"/>
      <c r="F95" s="111">
        <f t="shared" si="5"/>
        <v>4</v>
      </c>
      <c r="G95" s="112" t="s">
        <v>186</v>
      </c>
      <c r="H95" s="113">
        <v>44897</v>
      </c>
      <c r="I95" s="130">
        <v>44900</v>
      </c>
      <c r="J95" s="114" t="s">
        <v>186</v>
      </c>
      <c r="K95" s="114" t="s">
        <v>186</v>
      </c>
      <c r="L95" s="114" t="s">
        <v>186</v>
      </c>
      <c r="M95" s="114" t="s">
        <v>186</v>
      </c>
      <c r="N95" s="115" t="s">
        <v>111</v>
      </c>
      <c r="O95" s="118" t="s">
        <v>207</v>
      </c>
      <c r="P95" s="118" t="s">
        <v>532</v>
      </c>
      <c r="Q95" s="70" t="s">
        <v>111</v>
      </c>
    </row>
    <row r="96" spans="1:17" ht="16" customHeight="1">
      <c r="A96" s="107" t="s">
        <v>79</v>
      </c>
      <c r="B96" s="108" t="s">
        <v>108</v>
      </c>
      <c r="C96" s="109">
        <f t="shared" si="4"/>
        <v>4</v>
      </c>
      <c r="D96" s="110"/>
      <c r="E96" s="110"/>
      <c r="F96" s="111">
        <f t="shared" si="5"/>
        <v>4</v>
      </c>
      <c r="G96" s="112" t="s">
        <v>186</v>
      </c>
      <c r="H96" s="113">
        <v>44921</v>
      </c>
      <c r="I96" s="113" t="s">
        <v>120</v>
      </c>
      <c r="J96" s="114" t="s">
        <v>186</v>
      </c>
      <c r="K96" s="114" t="s">
        <v>186</v>
      </c>
      <c r="L96" s="114" t="s">
        <v>186</v>
      </c>
      <c r="M96" s="114" t="s">
        <v>186</v>
      </c>
      <c r="N96" s="115" t="s">
        <v>111</v>
      </c>
      <c r="O96" s="118" t="s">
        <v>178</v>
      </c>
      <c r="P96" s="118" t="s">
        <v>326</v>
      </c>
      <c r="Q96" s="70" t="s">
        <v>111</v>
      </c>
    </row>
    <row r="97" spans="1:17" ht="16" customHeight="1">
      <c r="A97" s="107" t="s">
        <v>80</v>
      </c>
      <c r="B97" s="108" t="s">
        <v>108</v>
      </c>
      <c r="C97" s="109">
        <f t="shared" si="4"/>
        <v>4</v>
      </c>
      <c r="D97" s="110"/>
      <c r="E97" s="110">
        <v>0.5</v>
      </c>
      <c r="F97" s="111">
        <f t="shared" si="5"/>
        <v>2</v>
      </c>
      <c r="G97" s="112" t="s">
        <v>186</v>
      </c>
      <c r="H97" s="113">
        <v>44901</v>
      </c>
      <c r="I97" s="130" t="s">
        <v>120</v>
      </c>
      <c r="J97" s="114" t="s">
        <v>186</v>
      </c>
      <c r="K97" s="114" t="s">
        <v>186</v>
      </c>
      <c r="L97" s="114" t="s">
        <v>160</v>
      </c>
      <c r="M97" s="114" t="s">
        <v>186</v>
      </c>
      <c r="N97" s="115" t="s">
        <v>542</v>
      </c>
      <c r="O97" s="118" t="s">
        <v>245</v>
      </c>
      <c r="P97" s="116" t="s">
        <v>181</v>
      </c>
    </row>
    <row r="98" spans="1:17" ht="16" customHeight="1">
      <c r="A98" s="107" t="s">
        <v>81</v>
      </c>
      <c r="B98" s="108" t="s">
        <v>108</v>
      </c>
      <c r="C98" s="109">
        <f t="shared" si="4"/>
        <v>4</v>
      </c>
      <c r="D98" s="110"/>
      <c r="E98" s="110">
        <v>0.5</v>
      </c>
      <c r="F98" s="111">
        <f t="shared" si="5"/>
        <v>2</v>
      </c>
      <c r="G98" s="112" t="s">
        <v>186</v>
      </c>
      <c r="H98" s="113">
        <v>44531</v>
      </c>
      <c r="I98" s="130" t="s">
        <v>120</v>
      </c>
      <c r="J98" s="114" t="s">
        <v>186</v>
      </c>
      <c r="K98" s="114" t="s">
        <v>186</v>
      </c>
      <c r="L98" s="114" t="s">
        <v>543</v>
      </c>
      <c r="M98" s="114" t="s">
        <v>111</v>
      </c>
      <c r="N98" s="115" t="s">
        <v>544</v>
      </c>
      <c r="O98" s="118" t="s">
        <v>533</v>
      </c>
      <c r="P98" s="116" t="s">
        <v>181</v>
      </c>
      <c r="Q98" s="70" t="s">
        <v>111</v>
      </c>
    </row>
    <row r="99" spans="1:17">
      <c r="O99" s="169"/>
    </row>
  </sheetData>
  <mergeCells count="17">
    <mergeCell ref="O3:P3"/>
    <mergeCell ref="C4:C5"/>
    <mergeCell ref="D4:D5"/>
    <mergeCell ref="E4:E5"/>
    <mergeCell ref="F4:F5"/>
    <mergeCell ref="O4:O5"/>
    <mergeCell ref="P4:P5"/>
    <mergeCell ref="J3:J5"/>
    <mergeCell ref="K3:K5"/>
    <mergeCell ref="L3:L5"/>
    <mergeCell ref="M3:M5"/>
    <mergeCell ref="N3:N5"/>
    <mergeCell ref="A3:A5"/>
    <mergeCell ref="C3:F3"/>
    <mergeCell ref="G3:G5"/>
    <mergeCell ref="H3:H5"/>
    <mergeCell ref="I3:I5"/>
  </mergeCells>
  <dataValidations count="1">
    <dataValidation type="list" allowBlank="1" showInputMessage="1" showErrorMessage="1" sqref="B25 IT25 SP25 ACL25 AMH25 AWD25 BFZ25 BPV25 BZR25 CJN25 CTJ25 DDF25 DNB25 DWX25 EGT25 EQP25 FAL25 FKH25 FUD25 GDZ25 GNV25 GXR25 HHN25 HRJ25 IBF25 ILB25 IUX25 JET25 JOP25 JYL25 KIH25 KSD25 LBZ25 LLV25 LVR25 MFN25 MPJ25 MZF25 NJB25 NSX25 OCT25 OMP25 OWL25 PGH25 PQD25 PZZ25 QJV25 QTR25 RDN25 RNJ25 RXF25 SHB25 SQX25 TAT25 TKP25 TUL25 UEH25 UOD25 UXZ25 VHV25 VRR25 WBN25 WLJ25 WVF25 B65561 IT65561 SP65561 ACL65561 AMH65561 AWD65561 BFZ65561 BPV65561 BZR65561 CJN65561 CTJ65561 DDF65561 DNB65561 DWX65561 EGT65561 EQP65561 FAL65561 FKH65561 FUD65561 GDZ65561 GNV65561 GXR65561 HHN65561 HRJ65561 IBF65561 ILB65561 IUX65561 JET65561 JOP65561 JYL65561 KIH65561 KSD65561 LBZ65561 LLV65561 LVR65561 MFN65561 MPJ65561 MZF65561 NJB65561 NSX65561 OCT65561 OMP65561 OWL65561 PGH65561 PQD65561 PZZ65561 QJV65561 QTR65561 RDN65561 RNJ65561 RXF65561 SHB65561 SQX65561 TAT65561 TKP65561 TUL65561 UEH65561 UOD65561 UXZ65561 VHV65561 VRR65561 WBN65561 WLJ65561 WVF65561 B131097 IT131097 SP131097 ACL131097 AMH131097 AWD131097 BFZ131097 BPV131097 BZR131097 CJN131097 CTJ131097 DDF131097 DNB131097 DWX131097 EGT131097 EQP131097 FAL131097 FKH131097 FUD131097 GDZ131097 GNV131097 GXR131097 HHN131097 HRJ131097 IBF131097 ILB131097 IUX131097 JET131097 JOP131097 JYL131097 KIH131097 KSD131097 LBZ131097 LLV131097 LVR131097 MFN131097 MPJ131097 MZF131097 NJB131097 NSX131097 OCT131097 OMP131097 OWL131097 PGH131097 PQD131097 PZZ131097 QJV131097 QTR131097 RDN131097 RNJ131097 RXF131097 SHB131097 SQX131097 TAT131097 TKP131097 TUL131097 UEH131097 UOD131097 UXZ131097 VHV131097 VRR131097 WBN131097 WLJ131097 WVF131097 B196633 IT196633 SP196633 ACL196633 AMH196633 AWD196633 BFZ196633 BPV196633 BZR196633 CJN196633 CTJ196633 DDF196633 DNB196633 DWX196633 EGT196633 EQP196633 FAL196633 FKH196633 FUD196633 GDZ196633 GNV196633 GXR196633 HHN196633 HRJ196633 IBF196633 ILB196633 IUX196633 JET196633 JOP196633 JYL196633 KIH196633 KSD196633 LBZ196633 LLV196633 LVR196633 MFN196633 MPJ196633 MZF196633 NJB196633 NSX196633 OCT196633 OMP196633 OWL196633 PGH196633 PQD196633 PZZ196633 QJV196633 QTR196633 RDN196633 RNJ196633 RXF196633 SHB196633 SQX196633 TAT196633 TKP196633 TUL196633 UEH196633 UOD196633 UXZ196633 VHV196633 VRR196633 WBN196633 WLJ196633 WVF196633 B262169 IT262169 SP262169 ACL262169 AMH262169 AWD262169 BFZ262169 BPV262169 BZR262169 CJN262169 CTJ262169 DDF262169 DNB262169 DWX262169 EGT262169 EQP262169 FAL262169 FKH262169 FUD262169 GDZ262169 GNV262169 GXR262169 HHN262169 HRJ262169 IBF262169 ILB262169 IUX262169 JET262169 JOP262169 JYL262169 KIH262169 KSD262169 LBZ262169 LLV262169 LVR262169 MFN262169 MPJ262169 MZF262169 NJB262169 NSX262169 OCT262169 OMP262169 OWL262169 PGH262169 PQD262169 PZZ262169 QJV262169 QTR262169 RDN262169 RNJ262169 RXF262169 SHB262169 SQX262169 TAT262169 TKP262169 TUL262169 UEH262169 UOD262169 UXZ262169 VHV262169 VRR262169 WBN262169 WLJ262169 WVF262169 B327705 IT327705 SP327705 ACL327705 AMH327705 AWD327705 BFZ327705 BPV327705 BZR327705 CJN327705 CTJ327705 DDF327705 DNB327705 DWX327705 EGT327705 EQP327705 FAL327705 FKH327705 FUD327705 GDZ327705 GNV327705 GXR327705 HHN327705 HRJ327705 IBF327705 ILB327705 IUX327705 JET327705 JOP327705 JYL327705 KIH327705 KSD327705 LBZ327705 LLV327705 LVR327705 MFN327705 MPJ327705 MZF327705 NJB327705 NSX327705 OCT327705 OMP327705 OWL327705 PGH327705 PQD327705 PZZ327705 QJV327705 QTR327705 RDN327705 RNJ327705 RXF327705 SHB327705 SQX327705 TAT327705 TKP327705 TUL327705 UEH327705 UOD327705 UXZ327705 VHV327705 VRR327705 WBN327705 WLJ327705 WVF327705 B393241 IT393241 SP393241 ACL393241 AMH393241 AWD393241 BFZ393241 BPV393241 BZR393241 CJN393241 CTJ393241 DDF393241 DNB393241 DWX393241 EGT393241 EQP393241 FAL393241 FKH393241 FUD393241 GDZ393241 GNV393241 GXR393241 HHN393241 HRJ393241 IBF393241 ILB393241 IUX393241 JET393241 JOP393241 JYL393241 KIH393241 KSD393241 LBZ393241 LLV393241 LVR393241 MFN393241 MPJ393241 MZF393241 NJB393241 NSX393241 OCT393241 OMP393241 OWL393241 PGH393241 PQD393241 PZZ393241 QJV393241 QTR393241 RDN393241 RNJ393241 RXF393241 SHB393241 SQX393241 TAT393241 TKP393241 TUL393241 UEH393241 UOD393241 UXZ393241 VHV393241 VRR393241 WBN393241 WLJ393241 WVF393241 B458777 IT458777 SP458777 ACL458777 AMH458777 AWD458777 BFZ458777 BPV458777 BZR458777 CJN458777 CTJ458777 DDF458777 DNB458777 DWX458777 EGT458777 EQP458777 FAL458777 FKH458777 FUD458777 GDZ458777 GNV458777 GXR458777 HHN458777 HRJ458777 IBF458777 ILB458777 IUX458777 JET458777 JOP458777 JYL458777 KIH458777 KSD458777 LBZ458777 LLV458777 LVR458777 MFN458777 MPJ458777 MZF458777 NJB458777 NSX458777 OCT458777 OMP458777 OWL458777 PGH458777 PQD458777 PZZ458777 QJV458777 QTR458777 RDN458777 RNJ458777 RXF458777 SHB458777 SQX458777 TAT458777 TKP458777 TUL458777 UEH458777 UOD458777 UXZ458777 VHV458777 VRR458777 WBN458777 WLJ458777 WVF458777 B524313 IT524313 SP524313 ACL524313 AMH524313 AWD524313 BFZ524313 BPV524313 BZR524313 CJN524313 CTJ524313 DDF524313 DNB524313 DWX524313 EGT524313 EQP524313 FAL524313 FKH524313 FUD524313 GDZ524313 GNV524313 GXR524313 HHN524313 HRJ524313 IBF524313 ILB524313 IUX524313 JET524313 JOP524313 JYL524313 KIH524313 KSD524313 LBZ524313 LLV524313 LVR524313 MFN524313 MPJ524313 MZF524313 NJB524313 NSX524313 OCT524313 OMP524313 OWL524313 PGH524313 PQD524313 PZZ524313 QJV524313 QTR524313 RDN524313 RNJ524313 RXF524313 SHB524313 SQX524313 TAT524313 TKP524313 TUL524313 UEH524313 UOD524313 UXZ524313 VHV524313 VRR524313 WBN524313 WLJ524313 WVF524313 B589849 IT589849 SP589849 ACL589849 AMH589849 AWD589849 BFZ589849 BPV589849 BZR589849 CJN589849 CTJ589849 DDF589849 DNB589849 DWX589849 EGT589849 EQP589849 FAL589849 FKH589849 FUD589849 GDZ589849 GNV589849 GXR589849 HHN589849 HRJ589849 IBF589849 ILB589849 IUX589849 JET589849 JOP589849 JYL589849 KIH589849 KSD589849 LBZ589849 LLV589849 LVR589849 MFN589849 MPJ589849 MZF589849 NJB589849 NSX589849 OCT589849 OMP589849 OWL589849 PGH589849 PQD589849 PZZ589849 QJV589849 QTR589849 RDN589849 RNJ589849 RXF589849 SHB589849 SQX589849 TAT589849 TKP589849 TUL589849 UEH589849 UOD589849 UXZ589849 VHV589849 VRR589849 WBN589849 WLJ589849 WVF589849 B655385 IT655385 SP655385 ACL655385 AMH655385 AWD655385 BFZ655385 BPV655385 BZR655385 CJN655385 CTJ655385 DDF655385 DNB655385 DWX655385 EGT655385 EQP655385 FAL655385 FKH655385 FUD655385 GDZ655385 GNV655385 GXR655385 HHN655385 HRJ655385 IBF655385 ILB655385 IUX655385 JET655385 JOP655385 JYL655385 KIH655385 KSD655385 LBZ655385 LLV655385 LVR655385 MFN655385 MPJ655385 MZF655385 NJB655385 NSX655385 OCT655385 OMP655385 OWL655385 PGH655385 PQD655385 PZZ655385 QJV655385 QTR655385 RDN655385 RNJ655385 RXF655385 SHB655385 SQX655385 TAT655385 TKP655385 TUL655385 UEH655385 UOD655385 UXZ655385 VHV655385 VRR655385 WBN655385 WLJ655385 WVF655385 B720921 IT720921 SP720921 ACL720921 AMH720921 AWD720921 BFZ720921 BPV720921 BZR720921 CJN720921 CTJ720921 DDF720921 DNB720921 DWX720921 EGT720921 EQP720921 FAL720921 FKH720921 FUD720921 GDZ720921 GNV720921 GXR720921 HHN720921 HRJ720921 IBF720921 ILB720921 IUX720921 JET720921 JOP720921 JYL720921 KIH720921 KSD720921 LBZ720921 LLV720921 LVR720921 MFN720921 MPJ720921 MZF720921 NJB720921 NSX720921 OCT720921 OMP720921 OWL720921 PGH720921 PQD720921 PZZ720921 QJV720921 QTR720921 RDN720921 RNJ720921 RXF720921 SHB720921 SQX720921 TAT720921 TKP720921 TUL720921 UEH720921 UOD720921 UXZ720921 VHV720921 VRR720921 WBN720921 WLJ720921 WVF720921 B786457 IT786457 SP786457 ACL786457 AMH786457 AWD786457 BFZ786457 BPV786457 BZR786457 CJN786457 CTJ786457 DDF786457 DNB786457 DWX786457 EGT786457 EQP786457 FAL786457 FKH786457 FUD786457 GDZ786457 GNV786457 GXR786457 HHN786457 HRJ786457 IBF786457 ILB786457 IUX786457 JET786457 JOP786457 JYL786457 KIH786457 KSD786457 LBZ786457 LLV786457 LVR786457 MFN786457 MPJ786457 MZF786457 NJB786457 NSX786457 OCT786457 OMP786457 OWL786457 PGH786457 PQD786457 PZZ786457 QJV786457 QTR786457 RDN786457 RNJ786457 RXF786457 SHB786457 SQX786457 TAT786457 TKP786457 TUL786457 UEH786457 UOD786457 UXZ786457 VHV786457 VRR786457 WBN786457 WLJ786457 WVF786457 B851993 IT851993 SP851993 ACL851993 AMH851993 AWD851993 BFZ851993 BPV851993 BZR851993 CJN851993 CTJ851993 DDF851993 DNB851993 DWX851993 EGT851993 EQP851993 FAL851993 FKH851993 FUD851993 GDZ851993 GNV851993 GXR851993 HHN851993 HRJ851993 IBF851993 ILB851993 IUX851993 JET851993 JOP851993 JYL851993 KIH851993 KSD851993 LBZ851993 LLV851993 LVR851993 MFN851993 MPJ851993 MZF851993 NJB851993 NSX851993 OCT851993 OMP851993 OWL851993 PGH851993 PQD851993 PZZ851993 QJV851993 QTR851993 RDN851993 RNJ851993 RXF851993 SHB851993 SQX851993 TAT851993 TKP851993 TUL851993 UEH851993 UOD851993 UXZ851993 VHV851993 VRR851993 WBN851993 WLJ851993 WVF851993 B917529 IT917529 SP917529 ACL917529 AMH917529 AWD917529 BFZ917529 BPV917529 BZR917529 CJN917529 CTJ917529 DDF917529 DNB917529 DWX917529 EGT917529 EQP917529 FAL917529 FKH917529 FUD917529 GDZ917529 GNV917529 GXR917529 HHN917529 HRJ917529 IBF917529 ILB917529 IUX917529 JET917529 JOP917529 JYL917529 KIH917529 KSD917529 LBZ917529 LLV917529 LVR917529 MFN917529 MPJ917529 MZF917529 NJB917529 NSX917529 OCT917529 OMP917529 OWL917529 PGH917529 PQD917529 PZZ917529 QJV917529 QTR917529 RDN917529 RNJ917529 RXF917529 SHB917529 SQX917529 TAT917529 TKP917529 TUL917529 UEH917529 UOD917529 UXZ917529 VHV917529 VRR917529 WBN917529 WLJ917529 WVF917529 B983065 IT983065 SP983065 ACL983065 AMH983065 AWD983065 BFZ983065 BPV983065 BZR983065 CJN983065 CTJ983065 DDF983065 DNB983065 DWX983065 EGT983065 EQP983065 FAL983065 FKH983065 FUD983065 GDZ983065 GNV983065 GXR983065 HHN983065 HRJ983065 IBF983065 ILB983065 IUX983065 JET983065 JOP983065 JYL983065 KIH983065 KSD983065 LBZ983065 LLV983065 LVR983065 MFN983065 MPJ983065 MZF983065 NJB983065 NSX983065 OCT983065 OMP983065 OWL983065 PGH983065 PQD983065 PZZ983065 QJV983065 QTR983065 RDN983065 RNJ983065 RXF983065 SHB983065 SQX983065 TAT983065 TKP983065 TUL983065 UEH983065 UOD983065 UXZ983065 VHV983065 VRR983065 WBN983065 WLJ983065 WVF983065 B37 IT37 SP37 ACL37 AMH37 AWD37 BFZ37 BPV37 BZR37 CJN37 CTJ37 DDF37 DNB37 DWX37 EGT37 EQP37 FAL37 FKH37 FUD37 GDZ37 GNV37 GXR37 HHN37 HRJ37 IBF37 ILB37 IUX37 JET37 JOP37 JYL37 KIH37 KSD37 LBZ37 LLV37 LVR37 MFN37 MPJ37 MZF37 NJB37 NSX37 OCT37 OMP37 OWL37 PGH37 PQD37 PZZ37 QJV37 QTR37 RDN37 RNJ37 RXF37 SHB37 SQX37 TAT37 TKP37 TUL37 UEH37 UOD37 UXZ37 VHV37 VRR37 WBN37 WLJ37 WVF37 B65573 IT65573 SP65573 ACL65573 AMH65573 AWD65573 BFZ65573 BPV65573 BZR65573 CJN65573 CTJ65573 DDF65573 DNB65573 DWX65573 EGT65573 EQP65573 FAL65573 FKH65573 FUD65573 GDZ65573 GNV65573 GXR65573 HHN65573 HRJ65573 IBF65573 ILB65573 IUX65573 JET65573 JOP65573 JYL65573 KIH65573 KSD65573 LBZ65573 LLV65573 LVR65573 MFN65573 MPJ65573 MZF65573 NJB65573 NSX65573 OCT65573 OMP65573 OWL65573 PGH65573 PQD65573 PZZ65573 QJV65573 QTR65573 RDN65573 RNJ65573 RXF65573 SHB65573 SQX65573 TAT65573 TKP65573 TUL65573 UEH65573 UOD65573 UXZ65573 VHV65573 VRR65573 WBN65573 WLJ65573 WVF65573 B131109 IT131109 SP131109 ACL131109 AMH131109 AWD131109 BFZ131109 BPV131109 BZR131109 CJN131109 CTJ131109 DDF131109 DNB131109 DWX131109 EGT131109 EQP131109 FAL131109 FKH131109 FUD131109 GDZ131109 GNV131109 GXR131109 HHN131109 HRJ131109 IBF131109 ILB131109 IUX131109 JET131109 JOP131109 JYL131109 KIH131109 KSD131109 LBZ131109 LLV131109 LVR131109 MFN131109 MPJ131109 MZF131109 NJB131109 NSX131109 OCT131109 OMP131109 OWL131109 PGH131109 PQD131109 PZZ131109 QJV131109 QTR131109 RDN131109 RNJ131109 RXF131109 SHB131109 SQX131109 TAT131109 TKP131109 TUL131109 UEH131109 UOD131109 UXZ131109 VHV131109 VRR131109 WBN131109 WLJ131109 WVF131109 B196645 IT196645 SP196645 ACL196645 AMH196645 AWD196645 BFZ196645 BPV196645 BZR196645 CJN196645 CTJ196645 DDF196645 DNB196645 DWX196645 EGT196645 EQP196645 FAL196645 FKH196645 FUD196645 GDZ196645 GNV196645 GXR196645 HHN196645 HRJ196645 IBF196645 ILB196645 IUX196645 JET196645 JOP196645 JYL196645 KIH196645 KSD196645 LBZ196645 LLV196645 LVR196645 MFN196645 MPJ196645 MZF196645 NJB196645 NSX196645 OCT196645 OMP196645 OWL196645 PGH196645 PQD196645 PZZ196645 QJV196645 QTR196645 RDN196645 RNJ196645 RXF196645 SHB196645 SQX196645 TAT196645 TKP196645 TUL196645 UEH196645 UOD196645 UXZ196645 VHV196645 VRR196645 WBN196645 WLJ196645 WVF196645 B262181 IT262181 SP262181 ACL262181 AMH262181 AWD262181 BFZ262181 BPV262181 BZR262181 CJN262181 CTJ262181 DDF262181 DNB262181 DWX262181 EGT262181 EQP262181 FAL262181 FKH262181 FUD262181 GDZ262181 GNV262181 GXR262181 HHN262181 HRJ262181 IBF262181 ILB262181 IUX262181 JET262181 JOP262181 JYL262181 KIH262181 KSD262181 LBZ262181 LLV262181 LVR262181 MFN262181 MPJ262181 MZF262181 NJB262181 NSX262181 OCT262181 OMP262181 OWL262181 PGH262181 PQD262181 PZZ262181 QJV262181 QTR262181 RDN262181 RNJ262181 RXF262181 SHB262181 SQX262181 TAT262181 TKP262181 TUL262181 UEH262181 UOD262181 UXZ262181 VHV262181 VRR262181 WBN262181 WLJ262181 WVF262181 B327717 IT327717 SP327717 ACL327717 AMH327717 AWD327717 BFZ327717 BPV327717 BZR327717 CJN327717 CTJ327717 DDF327717 DNB327717 DWX327717 EGT327717 EQP327717 FAL327717 FKH327717 FUD327717 GDZ327717 GNV327717 GXR327717 HHN327717 HRJ327717 IBF327717 ILB327717 IUX327717 JET327717 JOP327717 JYL327717 KIH327717 KSD327717 LBZ327717 LLV327717 LVR327717 MFN327717 MPJ327717 MZF327717 NJB327717 NSX327717 OCT327717 OMP327717 OWL327717 PGH327717 PQD327717 PZZ327717 QJV327717 QTR327717 RDN327717 RNJ327717 RXF327717 SHB327717 SQX327717 TAT327717 TKP327717 TUL327717 UEH327717 UOD327717 UXZ327717 VHV327717 VRR327717 WBN327717 WLJ327717 WVF327717 B393253 IT393253 SP393253 ACL393253 AMH393253 AWD393253 BFZ393253 BPV393253 BZR393253 CJN393253 CTJ393253 DDF393253 DNB393253 DWX393253 EGT393253 EQP393253 FAL393253 FKH393253 FUD393253 GDZ393253 GNV393253 GXR393253 HHN393253 HRJ393253 IBF393253 ILB393253 IUX393253 JET393253 JOP393253 JYL393253 KIH393253 KSD393253 LBZ393253 LLV393253 LVR393253 MFN393253 MPJ393253 MZF393253 NJB393253 NSX393253 OCT393253 OMP393253 OWL393253 PGH393253 PQD393253 PZZ393253 QJV393253 QTR393253 RDN393253 RNJ393253 RXF393253 SHB393253 SQX393253 TAT393253 TKP393253 TUL393253 UEH393253 UOD393253 UXZ393253 VHV393253 VRR393253 WBN393253 WLJ393253 WVF393253 B458789 IT458789 SP458789 ACL458789 AMH458789 AWD458789 BFZ458789 BPV458789 BZR458789 CJN458789 CTJ458789 DDF458789 DNB458789 DWX458789 EGT458789 EQP458789 FAL458789 FKH458789 FUD458789 GDZ458789 GNV458789 GXR458789 HHN458789 HRJ458789 IBF458789 ILB458789 IUX458789 JET458789 JOP458789 JYL458789 KIH458789 KSD458789 LBZ458789 LLV458789 LVR458789 MFN458789 MPJ458789 MZF458789 NJB458789 NSX458789 OCT458789 OMP458789 OWL458789 PGH458789 PQD458789 PZZ458789 QJV458789 QTR458789 RDN458789 RNJ458789 RXF458789 SHB458789 SQX458789 TAT458789 TKP458789 TUL458789 UEH458789 UOD458789 UXZ458789 VHV458789 VRR458789 WBN458789 WLJ458789 WVF458789 B524325 IT524325 SP524325 ACL524325 AMH524325 AWD524325 BFZ524325 BPV524325 BZR524325 CJN524325 CTJ524325 DDF524325 DNB524325 DWX524325 EGT524325 EQP524325 FAL524325 FKH524325 FUD524325 GDZ524325 GNV524325 GXR524325 HHN524325 HRJ524325 IBF524325 ILB524325 IUX524325 JET524325 JOP524325 JYL524325 KIH524325 KSD524325 LBZ524325 LLV524325 LVR524325 MFN524325 MPJ524325 MZF524325 NJB524325 NSX524325 OCT524325 OMP524325 OWL524325 PGH524325 PQD524325 PZZ524325 QJV524325 QTR524325 RDN524325 RNJ524325 RXF524325 SHB524325 SQX524325 TAT524325 TKP524325 TUL524325 UEH524325 UOD524325 UXZ524325 VHV524325 VRR524325 WBN524325 WLJ524325 WVF524325 B589861 IT589861 SP589861 ACL589861 AMH589861 AWD589861 BFZ589861 BPV589861 BZR589861 CJN589861 CTJ589861 DDF589861 DNB589861 DWX589861 EGT589861 EQP589861 FAL589861 FKH589861 FUD589861 GDZ589861 GNV589861 GXR589861 HHN589861 HRJ589861 IBF589861 ILB589861 IUX589861 JET589861 JOP589861 JYL589861 KIH589861 KSD589861 LBZ589861 LLV589861 LVR589861 MFN589861 MPJ589861 MZF589861 NJB589861 NSX589861 OCT589861 OMP589861 OWL589861 PGH589861 PQD589861 PZZ589861 QJV589861 QTR589861 RDN589861 RNJ589861 RXF589861 SHB589861 SQX589861 TAT589861 TKP589861 TUL589861 UEH589861 UOD589861 UXZ589861 VHV589861 VRR589861 WBN589861 WLJ589861 WVF589861 B655397 IT655397 SP655397 ACL655397 AMH655397 AWD655397 BFZ655397 BPV655397 BZR655397 CJN655397 CTJ655397 DDF655397 DNB655397 DWX655397 EGT655397 EQP655397 FAL655397 FKH655397 FUD655397 GDZ655397 GNV655397 GXR655397 HHN655397 HRJ655397 IBF655397 ILB655397 IUX655397 JET655397 JOP655397 JYL655397 KIH655397 KSD655397 LBZ655397 LLV655397 LVR655397 MFN655397 MPJ655397 MZF655397 NJB655397 NSX655397 OCT655397 OMP655397 OWL655397 PGH655397 PQD655397 PZZ655397 QJV655397 QTR655397 RDN655397 RNJ655397 RXF655397 SHB655397 SQX655397 TAT655397 TKP655397 TUL655397 UEH655397 UOD655397 UXZ655397 VHV655397 VRR655397 WBN655397 WLJ655397 WVF655397 B720933 IT720933 SP720933 ACL720933 AMH720933 AWD720933 BFZ720933 BPV720933 BZR720933 CJN720933 CTJ720933 DDF720933 DNB720933 DWX720933 EGT720933 EQP720933 FAL720933 FKH720933 FUD720933 GDZ720933 GNV720933 GXR720933 HHN720933 HRJ720933 IBF720933 ILB720933 IUX720933 JET720933 JOP720933 JYL720933 KIH720933 KSD720933 LBZ720933 LLV720933 LVR720933 MFN720933 MPJ720933 MZF720933 NJB720933 NSX720933 OCT720933 OMP720933 OWL720933 PGH720933 PQD720933 PZZ720933 QJV720933 QTR720933 RDN720933 RNJ720933 RXF720933 SHB720933 SQX720933 TAT720933 TKP720933 TUL720933 UEH720933 UOD720933 UXZ720933 VHV720933 VRR720933 WBN720933 WLJ720933 WVF720933 B786469 IT786469 SP786469 ACL786469 AMH786469 AWD786469 BFZ786469 BPV786469 BZR786469 CJN786469 CTJ786469 DDF786469 DNB786469 DWX786469 EGT786469 EQP786469 FAL786469 FKH786469 FUD786469 GDZ786469 GNV786469 GXR786469 HHN786469 HRJ786469 IBF786469 ILB786469 IUX786469 JET786469 JOP786469 JYL786469 KIH786469 KSD786469 LBZ786469 LLV786469 LVR786469 MFN786469 MPJ786469 MZF786469 NJB786469 NSX786469 OCT786469 OMP786469 OWL786469 PGH786469 PQD786469 PZZ786469 QJV786469 QTR786469 RDN786469 RNJ786469 RXF786469 SHB786469 SQX786469 TAT786469 TKP786469 TUL786469 UEH786469 UOD786469 UXZ786469 VHV786469 VRR786469 WBN786469 WLJ786469 WVF786469 B852005 IT852005 SP852005 ACL852005 AMH852005 AWD852005 BFZ852005 BPV852005 BZR852005 CJN852005 CTJ852005 DDF852005 DNB852005 DWX852005 EGT852005 EQP852005 FAL852005 FKH852005 FUD852005 GDZ852005 GNV852005 GXR852005 HHN852005 HRJ852005 IBF852005 ILB852005 IUX852005 JET852005 JOP852005 JYL852005 KIH852005 KSD852005 LBZ852005 LLV852005 LVR852005 MFN852005 MPJ852005 MZF852005 NJB852005 NSX852005 OCT852005 OMP852005 OWL852005 PGH852005 PQD852005 PZZ852005 QJV852005 QTR852005 RDN852005 RNJ852005 RXF852005 SHB852005 SQX852005 TAT852005 TKP852005 TUL852005 UEH852005 UOD852005 UXZ852005 VHV852005 VRR852005 WBN852005 WLJ852005 WVF852005 B917541 IT917541 SP917541 ACL917541 AMH917541 AWD917541 BFZ917541 BPV917541 BZR917541 CJN917541 CTJ917541 DDF917541 DNB917541 DWX917541 EGT917541 EQP917541 FAL917541 FKH917541 FUD917541 GDZ917541 GNV917541 GXR917541 HHN917541 HRJ917541 IBF917541 ILB917541 IUX917541 JET917541 JOP917541 JYL917541 KIH917541 KSD917541 LBZ917541 LLV917541 LVR917541 MFN917541 MPJ917541 MZF917541 NJB917541 NSX917541 OCT917541 OMP917541 OWL917541 PGH917541 PQD917541 PZZ917541 QJV917541 QTR917541 RDN917541 RNJ917541 RXF917541 SHB917541 SQX917541 TAT917541 TKP917541 TUL917541 UEH917541 UOD917541 UXZ917541 VHV917541 VRR917541 WBN917541 WLJ917541 WVF917541 B983077 IT983077 SP983077 ACL983077 AMH983077 AWD983077 BFZ983077 BPV983077 BZR983077 CJN983077 CTJ983077 DDF983077 DNB983077 DWX983077 EGT983077 EQP983077 FAL983077 FKH983077 FUD983077 GDZ983077 GNV983077 GXR983077 HHN983077 HRJ983077 IBF983077 ILB983077 IUX983077 JET983077 JOP983077 JYL983077 KIH983077 KSD983077 LBZ983077 LLV983077 LVR983077 MFN983077 MPJ983077 MZF983077 NJB983077 NSX983077 OCT983077 OMP983077 OWL983077 PGH983077 PQD983077 PZZ983077 QJV983077 QTR983077 RDN983077 RNJ983077 RXF983077 SHB983077 SQX983077 TAT983077 TKP983077 TUL983077 UEH983077 UOD983077 UXZ983077 VHV983077 VRR983077 WBN983077 WLJ983077 WVF983077 B46 IT46 SP46 ACL46 AMH46 AWD46 BFZ46 BPV46 BZR46 CJN46 CTJ46 DDF46 DNB46 DWX46 EGT46 EQP46 FAL46 FKH46 FUD46 GDZ46 GNV46 GXR46 HHN46 HRJ46 IBF46 ILB46 IUX46 JET46 JOP46 JYL46 KIH46 KSD46 LBZ46 LLV46 LVR46 MFN46 MPJ46 MZF46 NJB46 NSX46 OCT46 OMP46 OWL46 PGH46 PQD46 PZZ46 QJV46 QTR46 RDN46 RNJ46 RXF46 SHB46 SQX46 TAT46 TKP46 TUL46 UEH46 UOD46 UXZ46 VHV46 VRR46 WBN46 WLJ46 WVF46 B65582 IT65582 SP65582 ACL65582 AMH65582 AWD65582 BFZ65582 BPV65582 BZR65582 CJN65582 CTJ65582 DDF65582 DNB65582 DWX65582 EGT65582 EQP65582 FAL65582 FKH65582 FUD65582 GDZ65582 GNV65582 GXR65582 HHN65582 HRJ65582 IBF65582 ILB65582 IUX65582 JET65582 JOP65582 JYL65582 KIH65582 KSD65582 LBZ65582 LLV65582 LVR65582 MFN65582 MPJ65582 MZF65582 NJB65582 NSX65582 OCT65582 OMP65582 OWL65582 PGH65582 PQD65582 PZZ65582 QJV65582 QTR65582 RDN65582 RNJ65582 RXF65582 SHB65582 SQX65582 TAT65582 TKP65582 TUL65582 UEH65582 UOD65582 UXZ65582 VHV65582 VRR65582 WBN65582 WLJ65582 WVF65582 B131118 IT131118 SP131118 ACL131118 AMH131118 AWD131118 BFZ131118 BPV131118 BZR131118 CJN131118 CTJ131118 DDF131118 DNB131118 DWX131118 EGT131118 EQP131118 FAL131118 FKH131118 FUD131118 GDZ131118 GNV131118 GXR131118 HHN131118 HRJ131118 IBF131118 ILB131118 IUX131118 JET131118 JOP131118 JYL131118 KIH131118 KSD131118 LBZ131118 LLV131118 LVR131118 MFN131118 MPJ131118 MZF131118 NJB131118 NSX131118 OCT131118 OMP131118 OWL131118 PGH131118 PQD131118 PZZ131118 QJV131118 QTR131118 RDN131118 RNJ131118 RXF131118 SHB131118 SQX131118 TAT131118 TKP131118 TUL131118 UEH131118 UOD131118 UXZ131118 VHV131118 VRR131118 WBN131118 WLJ131118 WVF131118 B196654 IT196654 SP196654 ACL196654 AMH196654 AWD196654 BFZ196654 BPV196654 BZR196654 CJN196654 CTJ196654 DDF196654 DNB196654 DWX196654 EGT196654 EQP196654 FAL196654 FKH196654 FUD196654 GDZ196654 GNV196654 GXR196654 HHN196654 HRJ196654 IBF196654 ILB196654 IUX196654 JET196654 JOP196654 JYL196654 KIH196654 KSD196654 LBZ196654 LLV196654 LVR196654 MFN196654 MPJ196654 MZF196654 NJB196654 NSX196654 OCT196654 OMP196654 OWL196654 PGH196654 PQD196654 PZZ196654 QJV196654 QTR196654 RDN196654 RNJ196654 RXF196654 SHB196654 SQX196654 TAT196654 TKP196654 TUL196654 UEH196654 UOD196654 UXZ196654 VHV196654 VRR196654 WBN196654 WLJ196654 WVF196654 B262190 IT262190 SP262190 ACL262190 AMH262190 AWD262190 BFZ262190 BPV262190 BZR262190 CJN262190 CTJ262190 DDF262190 DNB262190 DWX262190 EGT262190 EQP262190 FAL262190 FKH262190 FUD262190 GDZ262190 GNV262190 GXR262190 HHN262190 HRJ262190 IBF262190 ILB262190 IUX262190 JET262190 JOP262190 JYL262190 KIH262190 KSD262190 LBZ262190 LLV262190 LVR262190 MFN262190 MPJ262190 MZF262190 NJB262190 NSX262190 OCT262190 OMP262190 OWL262190 PGH262190 PQD262190 PZZ262190 QJV262190 QTR262190 RDN262190 RNJ262190 RXF262190 SHB262190 SQX262190 TAT262190 TKP262190 TUL262190 UEH262190 UOD262190 UXZ262190 VHV262190 VRR262190 WBN262190 WLJ262190 WVF262190 B327726 IT327726 SP327726 ACL327726 AMH327726 AWD327726 BFZ327726 BPV327726 BZR327726 CJN327726 CTJ327726 DDF327726 DNB327726 DWX327726 EGT327726 EQP327726 FAL327726 FKH327726 FUD327726 GDZ327726 GNV327726 GXR327726 HHN327726 HRJ327726 IBF327726 ILB327726 IUX327726 JET327726 JOP327726 JYL327726 KIH327726 KSD327726 LBZ327726 LLV327726 LVR327726 MFN327726 MPJ327726 MZF327726 NJB327726 NSX327726 OCT327726 OMP327726 OWL327726 PGH327726 PQD327726 PZZ327726 QJV327726 QTR327726 RDN327726 RNJ327726 RXF327726 SHB327726 SQX327726 TAT327726 TKP327726 TUL327726 UEH327726 UOD327726 UXZ327726 VHV327726 VRR327726 WBN327726 WLJ327726 WVF327726 B393262 IT393262 SP393262 ACL393262 AMH393262 AWD393262 BFZ393262 BPV393262 BZR393262 CJN393262 CTJ393262 DDF393262 DNB393262 DWX393262 EGT393262 EQP393262 FAL393262 FKH393262 FUD393262 GDZ393262 GNV393262 GXR393262 HHN393262 HRJ393262 IBF393262 ILB393262 IUX393262 JET393262 JOP393262 JYL393262 KIH393262 KSD393262 LBZ393262 LLV393262 LVR393262 MFN393262 MPJ393262 MZF393262 NJB393262 NSX393262 OCT393262 OMP393262 OWL393262 PGH393262 PQD393262 PZZ393262 QJV393262 QTR393262 RDN393262 RNJ393262 RXF393262 SHB393262 SQX393262 TAT393262 TKP393262 TUL393262 UEH393262 UOD393262 UXZ393262 VHV393262 VRR393262 WBN393262 WLJ393262 WVF393262 B458798 IT458798 SP458798 ACL458798 AMH458798 AWD458798 BFZ458798 BPV458798 BZR458798 CJN458798 CTJ458798 DDF458798 DNB458798 DWX458798 EGT458798 EQP458798 FAL458798 FKH458798 FUD458798 GDZ458798 GNV458798 GXR458798 HHN458798 HRJ458798 IBF458798 ILB458798 IUX458798 JET458798 JOP458798 JYL458798 KIH458798 KSD458798 LBZ458798 LLV458798 LVR458798 MFN458798 MPJ458798 MZF458798 NJB458798 NSX458798 OCT458798 OMP458798 OWL458798 PGH458798 PQD458798 PZZ458798 QJV458798 QTR458798 RDN458798 RNJ458798 RXF458798 SHB458798 SQX458798 TAT458798 TKP458798 TUL458798 UEH458798 UOD458798 UXZ458798 VHV458798 VRR458798 WBN458798 WLJ458798 WVF458798 B524334 IT524334 SP524334 ACL524334 AMH524334 AWD524334 BFZ524334 BPV524334 BZR524334 CJN524334 CTJ524334 DDF524334 DNB524334 DWX524334 EGT524334 EQP524334 FAL524334 FKH524334 FUD524334 GDZ524334 GNV524334 GXR524334 HHN524334 HRJ524334 IBF524334 ILB524334 IUX524334 JET524334 JOP524334 JYL524334 KIH524334 KSD524334 LBZ524334 LLV524334 LVR524334 MFN524334 MPJ524334 MZF524334 NJB524334 NSX524334 OCT524334 OMP524334 OWL524334 PGH524334 PQD524334 PZZ524334 QJV524334 QTR524334 RDN524334 RNJ524334 RXF524334 SHB524334 SQX524334 TAT524334 TKP524334 TUL524334 UEH524334 UOD524334 UXZ524334 VHV524334 VRR524334 WBN524334 WLJ524334 WVF524334 B589870 IT589870 SP589870 ACL589870 AMH589870 AWD589870 BFZ589870 BPV589870 BZR589870 CJN589870 CTJ589870 DDF589870 DNB589870 DWX589870 EGT589870 EQP589870 FAL589870 FKH589870 FUD589870 GDZ589870 GNV589870 GXR589870 HHN589870 HRJ589870 IBF589870 ILB589870 IUX589870 JET589870 JOP589870 JYL589870 KIH589870 KSD589870 LBZ589870 LLV589870 LVR589870 MFN589870 MPJ589870 MZF589870 NJB589870 NSX589870 OCT589870 OMP589870 OWL589870 PGH589870 PQD589870 PZZ589870 QJV589870 QTR589870 RDN589870 RNJ589870 RXF589870 SHB589870 SQX589870 TAT589870 TKP589870 TUL589870 UEH589870 UOD589870 UXZ589870 VHV589870 VRR589870 WBN589870 WLJ589870 WVF589870 B655406 IT655406 SP655406 ACL655406 AMH655406 AWD655406 BFZ655406 BPV655406 BZR655406 CJN655406 CTJ655406 DDF655406 DNB655406 DWX655406 EGT655406 EQP655406 FAL655406 FKH655406 FUD655406 GDZ655406 GNV655406 GXR655406 HHN655406 HRJ655406 IBF655406 ILB655406 IUX655406 JET655406 JOP655406 JYL655406 KIH655406 KSD655406 LBZ655406 LLV655406 LVR655406 MFN655406 MPJ655406 MZF655406 NJB655406 NSX655406 OCT655406 OMP655406 OWL655406 PGH655406 PQD655406 PZZ655406 QJV655406 QTR655406 RDN655406 RNJ655406 RXF655406 SHB655406 SQX655406 TAT655406 TKP655406 TUL655406 UEH655406 UOD655406 UXZ655406 VHV655406 VRR655406 WBN655406 WLJ655406 WVF655406 B720942 IT720942 SP720942 ACL720942 AMH720942 AWD720942 BFZ720942 BPV720942 BZR720942 CJN720942 CTJ720942 DDF720942 DNB720942 DWX720942 EGT720942 EQP720942 FAL720942 FKH720942 FUD720942 GDZ720942 GNV720942 GXR720942 HHN720942 HRJ720942 IBF720942 ILB720942 IUX720942 JET720942 JOP720942 JYL720942 KIH720942 KSD720942 LBZ720942 LLV720942 LVR720942 MFN720942 MPJ720942 MZF720942 NJB720942 NSX720942 OCT720942 OMP720942 OWL720942 PGH720942 PQD720942 PZZ720942 QJV720942 QTR720942 RDN720942 RNJ720942 RXF720942 SHB720942 SQX720942 TAT720942 TKP720942 TUL720942 UEH720942 UOD720942 UXZ720942 VHV720942 VRR720942 WBN720942 WLJ720942 WVF720942 B786478 IT786478 SP786478 ACL786478 AMH786478 AWD786478 BFZ786478 BPV786478 BZR786478 CJN786478 CTJ786478 DDF786478 DNB786478 DWX786478 EGT786478 EQP786478 FAL786478 FKH786478 FUD786478 GDZ786478 GNV786478 GXR786478 HHN786478 HRJ786478 IBF786478 ILB786478 IUX786478 JET786478 JOP786478 JYL786478 KIH786478 KSD786478 LBZ786478 LLV786478 LVR786478 MFN786478 MPJ786478 MZF786478 NJB786478 NSX786478 OCT786478 OMP786478 OWL786478 PGH786478 PQD786478 PZZ786478 QJV786478 QTR786478 RDN786478 RNJ786478 RXF786478 SHB786478 SQX786478 TAT786478 TKP786478 TUL786478 UEH786478 UOD786478 UXZ786478 VHV786478 VRR786478 WBN786478 WLJ786478 WVF786478 B852014 IT852014 SP852014 ACL852014 AMH852014 AWD852014 BFZ852014 BPV852014 BZR852014 CJN852014 CTJ852014 DDF852014 DNB852014 DWX852014 EGT852014 EQP852014 FAL852014 FKH852014 FUD852014 GDZ852014 GNV852014 GXR852014 HHN852014 HRJ852014 IBF852014 ILB852014 IUX852014 JET852014 JOP852014 JYL852014 KIH852014 KSD852014 LBZ852014 LLV852014 LVR852014 MFN852014 MPJ852014 MZF852014 NJB852014 NSX852014 OCT852014 OMP852014 OWL852014 PGH852014 PQD852014 PZZ852014 QJV852014 QTR852014 RDN852014 RNJ852014 RXF852014 SHB852014 SQX852014 TAT852014 TKP852014 TUL852014 UEH852014 UOD852014 UXZ852014 VHV852014 VRR852014 WBN852014 WLJ852014 WVF852014 B917550 IT917550 SP917550 ACL917550 AMH917550 AWD917550 BFZ917550 BPV917550 BZR917550 CJN917550 CTJ917550 DDF917550 DNB917550 DWX917550 EGT917550 EQP917550 FAL917550 FKH917550 FUD917550 GDZ917550 GNV917550 GXR917550 HHN917550 HRJ917550 IBF917550 ILB917550 IUX917550 JET917550 JOP917550 JYL917550 KIH917550 KSD917550 LBZ917550 LLV917550 LVR917550 MFN917550 MPJ917550 MZF917550 NJB917550 NSX917550 OCT917550 OMP917550 OWL917550 PGH917550 PQD917550 PZZ917550 QJV917550 QTR917550 RDN917550 RNJ917550 RXF917550 SHB917550 SQX917550 TAT917550 TKP917550 TUL917550 UEH917550 UOD917550 UXZ917550 VHV917550 VRR917550 WBN917550 WLJ917550 WVF917550 B983086 IT983086 SP983086 ACL983086 AMH983086 AWD983086 BFZ983086 BPV983086 BZR983086 CJN983086 CTJ983086 DDF983086 DNB983086 DWX983086 EGT983086 EQP983086 FAL983086 FKH983086 FUD983086 GDZ983086 GNV983086 GXR983086 HHN983086 HRJ983086 IBF983086 ILB983086 IUX983086 JET983086 JOP983086 JYL983086 KIH983086 KSD983086 LBZ983086 LLV983086 LVR983086 MFN983086 MPJ983086 MZF983086 NJB983086 NSX983086 OCT983086 OMP983086 OWL983086 PGH983086 PQD983086 PZZ983086 QJV983086 QTR983086 RDN983086 RNJ983086 RXF983086 SHB983086 SQX983086 TAT983086 TKP983086 TUL983086 UEH983086 UOD983086 UXZ983086 VHV983086 VRR983086 WBN983086 WLJ983086 WVF983086 B54 IT54 SP54 ACL54 AMH54 AWD54 BFZ54 BPV54 BZR54 CJN54 CTJ54 DDF54 DNB54 DWX54 EGT54 EQP54 FAL54 FKH54 FUD54 GDZ54 GNV54 GXR54 HHN54 HRJ54 IBF54 ILB54 IUX54 JET54 JOP54 JYL54 KIH54 KSD54 LBZ54 LLV54 LVR54 MFN54 MPJ54 MZF54 NJB54 NSX54 OCT54 OMP54 OWL54 PGH54 PQD54 PZZ54 QJV54 QTR54 RDN54 RNJ54 RXF54 SHB54 SQX54 TAT54 TKP54 TUL54 UEH54 UOD54 UXZ54 VHV54 VRR54 WBN54 WLJ54 WVF54 B65590 IT65590 SP65590 ACL65590 AMH65590 AWD65590 BFZ65590 BPV65590 BZR65590 CJN65590 CTJ65590 DDF65590 DNB65590 DWX65590 EGT65590 EQP65590 FAL65590 FKH65590 FUD65590 GDZ65590 GNV65590 GXR65590 HHN65590 HRJ65590 IBF65590 ILB65590 IUX65590 JET65590 JOP65590 JYL65590 KIH65590 KSD65590 LBZ65590 LLV65590 LVR65590 MFN65590 MPJ65590 MZF65590 NJB65590 NSX65590 OCT65590 OMP65590 OWL65590 PGH65590 PQD65590 PZZ65590 QJV65590 QTR65590 RDN65590 RNJ65590 RXF65590 SHB65590 SQX65590 TAT65590 TKP65590 TUL65590 UEH65590 UOD65590 UXZ65590 VHV65590 VRR65590 WBN65590 WLJ65590 WVF65590 B131126 IT131126 SP131126 ACL131126 AMH131126 AWD131126 BFZ131126 BPV131126 BZR131126 CJN131126 CTJ131126 DDF131126 DNB131126 DWX131126 EGT131126 EQP131126 FAL131126 FKH131126 FUD131126 GDZ131126 GNV131126 GXR131126 HHN131126 HRJ131126 IBF131126 ILB131126 IUX131126 JET131126 JOP131126 JYL131126 KIH131126 KSD131126 LBZ131126 LLV131126 LVR131126 MFN131126 MPJ131126 MZF131126 NJB131126 NSX131126 OCT131126 OMP131126 OWL131126 PGH131126 PQD131126 PZZ131126 QJV131126 QTR131126 RDN131126 RNJ131126 RXF131126 SHB131126 SQX131126 TAT131126 TKP131126 TUL131126 UEH131126 UOD131126 UXZ131126 VHV131126 VRR131126 WBN131126 WLJ131126 WVF131126 B196662 IT196662 SP196662 ACL196662 AMH196662 AWD196662 BFZ196662 BPV196662 BZR196662 CJN196662 CTJ196662 DDF196662 DNB196662 DWX196662 EGT196662 EQP196662 FAL196662 FKH196662 FUD196662 GDZ196662 GNV196662 GXR196662 HHN196662 HRJ196662 IBF196662 ILB196662 IUX196662 JET196662 JOP196662 JYL196662 KIH196662 KSD196662 LBZ196662 LLV196662 LVR196662 MFN196662 MPJ196662 MZF196662 NJB196662 NSX196662 OCT196662 OMP196662 OWL196662 PGH196662 PQD196662 PZZ196662 QJV196662 QTR196662 RDN196662 RNJ196662 RXF196662 SHB196662 SQX196662 TAT196662 TKP196662 TUL196662 UEH196662 UOD196662 UXZ196662 VHV196662 VRR196662 WBN196662 WLJ196662 WVF196662 B262198 IT262198 SP262198 ACL262198 AMH262198 AWD262198 BFZ262198 BPV262198 BZR262198 CJN262198 CTJ262198 DDF262198 DNB262198 DWX262198 EGT262198 EQP262198 FAL262198 FKH262198 FUD262198 GDZ262198 GNV262198 GXR262198 HHN262198 HRJ262198 IBF262198 ILB262198 IUX262198 JET262198 JOP262198 JYL262198 KIH262198 KSD262198 LBZ262198 LLV262198 LVR262198 MFN262198 MPJ262198 MZF262198 NJB262198 NSX262198 OCT262198 OMP262198 OWL262198 PGH262198 PQD262198 PZZ262198 QJV262198 QTR262198 RDN262198 RNJ262198 RXF262198 SHB262198 SQX262198 TAT262198 TKP262198 TUL262198 UEH262198 UOD262198 UXZ262198 VHV262198 VRR262198 WBN262198 WLJ262198 WVF262198 B327734 IT327734 SP327734 ACL327734 AMH327734 AWD327734 BFZ327734 BPV327734 BZR327734 CJN327734 CTJ327734 DDF327734 DNB327734 DWX327734 EGT327734 EQP327734 FAL327734 FKH327734 FUD327734 GDZ327734 GNV327734 GXR327734 HHN327734 HRJ327734 IBF327734 ILB327734 IUX327734 JET327734 JOP327734 JYL327734 KIH327734 KSD327734 LBZ327734 LLV327734 LVR327734 MFN327734 MPJ327734 MZF327734 NJB327734 NSX327734 OCT327734 OMP327734 OWL327734 PGH327734 PQD327734 PZZ327734 QJV327734 QTR327734 RDN327734 RNJ327734 RXF327734 SHB327734 SQX327734 TAT327734 TKP327734 TUL327734 UEH327734 UOD327734 UXZ327734 VHV327734 VRR327734 WBN327734 WLJ327734 WVF327734 B393270 IT393270 SP393270 ACL393270 AMH393270 AWD393270 BFZ393270 BPV393270 BZR393270 CJN393270 CTJ393270 DDF393270 DNB393270 DWX393270 EGT393270 EQP393270 FAL393270 FKH393270 FUD393270 GDZ393270 GNV393270 GXR393270 HHN393270 HRJ393270 IBF393270 ILB393270 IUX393270 JET393270 JOP393270 JYL393270 KIH393270 KSD393270 LBZ393270 LLV393270 LVR393270 MFN393270 MPJ393270 MZF393270 NJB393270 NSX393270 OCT393270 OMP393270 OWL393270 PGH393270 PQD393270 PZZ393270 QJV393270 QTR393270 RDN393270 RNJ393270 RXF393270 SHB393270 SQX393270 TAT393270 TKP393270 TUL393270 UEH393270 UOD393270 UXZ393270 VHV393270 VRR393270 WBN393270 WLJ393270 WVF393270 B458806 IT458806 SP458806 ACL458806 AMH458806 AWD458806 BFZ458806 BPV458806 BZR458806 CJN458806 CTJ458806 DDF458806 DNB458806 DWX458806 EGT458806 EQP458806 FAL458806 FKH458806 FUD458806 GDZ458806 GNV458806 GXR458806 HHN458806 HRJ458806 IBF458806 ILB458806 IUX458806 JET458806 JOP458806 JYL458806 KIH458806 KSD458806 LBZ458806 LLV458806 LVR458806 MFN458806 MPJ458806 MZF458806 NJB458806 NSX458806 OCT458806 OMP458806 OWL458806 PGH458806 PQD458806 PZZ458806 QJV458806 QTR458806 RDN458806 RNJ458806 RXF458806 SHB458806 SQX458806 TAT458806 TKP458806 TUL458806 UEH458806 UOD458806 UXZ458806 VHV458806 VRR458806 WBN458806 WLJ458806 WVF458806 B524342 IT524342 SP524342 ACL524342 AMH524342 AWD524342 BFZ524342 BPV524342 BZR524342 CJN524342 CTJ524342 DDF524342 DNB524342 DWX524342 EGT524342 EQP524342 FAL524342 FKH524342 FUD524342 GDZ524342 GNV524342 GXR524342 HHN524342 HRJ524342 IBF524342 ILB524342 IUX524342 JET524342 JOP524342 JYL524342 KIH524342 KSD524342 LBZ524342 LLV524342 LVR524342 MFN524342 MPJ524342 MZF524342 NJB524342 NSX524342 OCT524342 OMP524342 OWL524342 PGH524342 PQD524342 PZZ524342 QJV524342 QTR524342 RDN524342 RNJ524342 RXF524342 SHB524342 SQX524342 TAT524342 TKP524342 TUL524342 UEH524342 UOD524342 UXZ524342 VHV524342 VRR524342 WBN524342 WLJ524342 WVF524342 B589878 IT589878 SP589878 ACL589878 AMH589878 AWD589878 BFZ589878 BPV589878 BZR589878 CJN589878 CTJ589878 DDF589878 DNB589878 DWX589878 EGT589878 EQP589878 FAL589878 FKH589878 FUD589878 GDZ589878 GNV589878 GXR589878 HHN589878 HRJ589878 IBF589878 ILB589878 IUX589878 JET589878 JOP589878 JYL589878 KIH589878 KSD589878 LBZ589878 LLV589878 LVR589878 MFN589878 MPJ589878 MZF589878 NJB589878 NSX589878 OCT589878 OMP589878 OWL589878 PGH589878 PQD589878 PZZ589878 QJV589878 QTR589878 RDN589878 RNJ589878 RXF589878 SHB589878 SQX589878 TAT589878 TKP589878 TUL589878 UEH589878 UOD589878 UXZ589878 VHV589878 VRR589878 WBN589878 WLJ589878 WVF589878 B655414 IT655414 SP655414 ACL655414 AMH655414 AWD655414 BFZ655414 BPV655414 BZR655414 CJN655414 CTJ655414 DDF655414 DNB655414 DWX655414 EGT655414 EQP655414 FAL655414 FKH655414 FUD655414 GDZ655414 GNV655414 GXR655414 HHN655414 HRJ655414 IBF655414 ILB655414 IUX655414 JET655414 JOP655414 JYL655414 KIH655414 KSD655414 LBZ655414 LLV655414 LVR655414 MFN655414 MPJ655414 MZF655414 NJB655414 NSX655414 OCT655414 OMP655414 OWL655414 PGH655414 PQD655414 PZZ655414 QJV655414 QTR655414 RDN655414 RNJ655414 RXF655414 SHB655414 SQX655414 TAT655414 TKP655414 TUL655414 UEH655414 UOD655414 UXZ655414 VHV655414 VRR655414 WBN655414 WLJ655414 WVF655414 B720950 IT720950 SP720950 ACL720950 AMH720950 AWD720950 BFZ720950 BPV720950 BZR720950 CJN720950 CTJ720950 DDF720950 DNB720950 DWX720950 EGT720950 EQP720950 FAL720950 FKH720950 FUD720950 GDZ720950 GNV720950 GXR720950 HHN720950 HRJ720950 IBF720950 ILB720950 IUX720950 JET720950 JOP720950 JYL720950 KIH720950 KSD720950 LBZ720950 LLV720950 LVR720950 MFN720950 MPJ720950 MZF720950 NJB720950 NSX720950 OCT720950 OMP720950 OWL720950 PGH720950 PQD720950 PZZ720950 QJV720950 QTR720950 RDN720950 RNJ720950 RXF720950 SHB720950 SQX720950 TAT720950 TKP720950 TUL720950 UEH720950 UOD720950 UXZ720950 VHV720950 VRR720950 WBN720950 WLJ720950 WVF720950 B786486 IT786486 SP786486 ACL786486 AMH786486 AWD786486 BFZ786486 BPV786486 BZR786486 CJN786486 CTJ786486 DDF786486 DNB786486 DWX786486 EGT786486 EQP786486 FAL786486 FKH786486 FUD786486 GDZ786486 GNV786486 GXR786486 HHN786486 HRJ786486 IBF786486 ILB786486 IUX786486 JET786486 JOP786486 JYL786486 KIH786486 KSD786486 LBZ786486 LLV786486 LVR786486 MFN786486 MPJ786486 MZF786486 NJB786486 NSX786486 OCT786486 OMP786486 OWL786486 PGH786486 PQD786486 PZZ786486 QJV786486 QTR786486 RDN786486 RNJ786486 RXF786486 SHB786486 SQX786486 TAT786486 TKP786486 TUL786486 UEH786486 UOD786486 UXZ786486 VHV786486 VRR786486 WBN786486 WLJ786486 WVF786486 B852022 IT852022 SP852022 ACL852022 AMH852022 AWD852022 BFZ852022 BPV852022 BZR852022 CJN852022 CTJ852022 DDF852022 DNB852022 DWX852022 EGT852022 EQP852022 FAL852022 FKH852022 FUD852022 GDZ852022 GNV852022 GXR852022 HHN852022 HRJ852022 IBF852022 ILB852022 IUX852022 JET852022 JOP852022 JYL852022 KIH852022 KSD852022 LBZ852022 LLV852022 LVR852022 MFN852022 MPJ852022 MZF852022 NJB852022 NSX852022 OCT852022 OMP852022 OWL852022 PGH852022 PQD852022 PZZ852022 QJV852022 QTR852022 RDN852022 RNJ852022 RXF852022 SHB852022 SQX852022 TAT852022 TKP852022 TUL852022 UEH852022 UOD852022 UXZ852022 VHV852022 VRR852022 WBN852022 WLJ852022 WVF852022 B917558 IT917558 SP917558 ACL917558 AMH917558 AWD917558 BFZ917558 BPV917558 BZR917558 CJN917558 CTJ917558 DDF917558 DNB917558 DWX917558 EGT917558 EQP917558 FAL917558 FKH917558 FUD917558 GDZ917558 GNV917558 GXR917558 HHN917558 HRJ917558 IBF917558 ILB917558 IUX917558 JET917558 JOP917558 JYL917558 KIH917558 KSD917558 LBZ917558 LLV917558 LVR917558 MFN917558 MPJ917558 MZF917558 NJB917558 NSX917558 OCT917558 OMP917558 OWL917558 PGH917558 PQD917558 PZZ917558 QJV917558 QTR917558 RDN917558 RNJ917558 RXF917558 SHB917558 SQX917558 TAT917558 TKP917558 TUL917558 UEH917558 UOD917558 UXZ917558 VHV917558 VRR917558 WBN917558 WLJ917558 WVF917558 B983094 IT983094 SP983094 ACL983094 AMH983094 AWD983094 BFZ983094 BPV983094 BZR983094 CJN983094 CTJ983094 DDF983094 DNB983094 DWX983094 EGT983094 EQP983094 FAL983094 FKH983094 FUD983094 GDZ983094 GNV983094 GXR983094 HHN983094 HRJ983094 IBF983094 ILB983094 IUX983094 JET983094 JOP983094 JYL983094 KIH983094 KSD983094 LBZ983094 LLV983094 LVR983094 MFN983094 MPJ983094 MZF983094 NJB983094 NSX983094 OCT983094 OMP983094 OWL983094 PGH983094 PQD983094 PZZ983094 QJV983094 QTR983094 RDN983094 RNJ983094 RXF983094 SHB983094 SQX983094 TAT983094 TKP983094 TUL983094 UEH983094 UOD983094 UXZ983094 VHV983094 VRR983094 WBN983094 WLJ983094 WVF983094 B69 IT69 SP69 ACL69 AMH69 AWD69 BFZ69 BPV69 BZR69 CJN69 CTJ69 DDF69 DNB69 DWX69 EGT69 EQP69 FAL69 FKH69 FUD69 GDZ69 GNV69 GXR69 HHN69 HRJ69 IBF69 ILB69 IUX69 JET69 JOP69 JYL69 KIH69 KSD69 LBZ69 LLV69 LVR69 MFN69 MPJ69 MZF69 NJB69 NSX69 OCT69 OMP69 OWL69 PGH69 PQD69 PZZ69 QJV69 QTR69 RDN69 RNJ69 RXF69 SHB69 SQX69 TAT69 TKP69 TUL69 UEH69 UOD69 UXZ69 VHV69 VRR69 WBN69 WLJ69 WVF69 B65605 IT65605 SP65605 ACL65605 AMH65605 AWD65605 BFZ65605 BPV65605 BZR65605 CJN65605 CTJ65605 DDF65605 DNB65605 DWX65605 EGT65605 EQP65605 FAL65605 FKH65605 FUD65605 GDZ65605 GNV65605 GXR65605 HHN65605 HRJ65605 IBF65605 ILB65605 IUX65605 JET65605 JOP65605 JYL65605 KIH65605 KSD65605 LBZ65605 LLV65605 LVR65605 MFN65605 MPJ65605 MZF65605 NJB65605 NSX65605 OCT65605 OMP65605 OWL65605 PGH65605 PQD65605 PZZ65605 QJV65605 QTR65605 RDN65605 RNJ65605 RXF65605 SHB65605 SQX65605 TAT65605 TKP65605 TUL65605 UEH65605 UOD65605 UXZ65605 VHV65605 VRR65605 WBN65605 WLJ65605 WVF65605 B131141 IT131141 SP131141 ACL131141 AMH131141 AWD131141 BFZ131141 BPV131141 BZR131141 CJN131141 CTJ131141 DDF131141 DNB131141 DWX131141 EGT131141 EQP131141 FAL131141 FKH131141 FUD131141 GDZ131141 GNV131141 GXR131141 HHN131141 HRJ131141 IBF131141 ILB131141 IUX131141 JET131141 JOP131141 JYL131141 KIH131141 KSD131141 LBZ131141 LLV131141 LVR131141 MFN131141 MPJ131141 MZF131141 NJB131141 NSX131141 OCT131141 OMP131141 OWL131141 PGH131141 PQD131141 PZZ131141 QJV131141 QTR131141 RDN131141 RNJ131141 RXF131141 SHB131141 SQX131141 TAT131141 TKP131141 TUL131141 UEH131141 UOD131141 UXZ131141 VHV131141 VRR131141 WBN131141 WLJ131141 WVF131141 B196677 IT196677 SP196677 ACL196677 AMH196677 AWD196677 BFZ196677 BPV196677 BZR196677 CJN196677 CTJ196677 DDF196677 DNB196677 DWX196677 EGT196677 EQP196677 FAL196677 FKH196677 FUD196677 GDZ196677 GNV196677 GXR196677 HHN196677 HRJ196677 IBF196677 ILB196677 IUX196677 JET196677 JOP196677 JYL196677 KIH196677 KSD196677 LBZ196677 LLV196677 LVR196677 MFN196677 MPJ196677 MZF196677 NJB196677 NSX196677 OCT196677 OMP196677 OWL196677 PGH196677 PQD196677 PZZ196677 QJV196677 QTR196677 RDN196677 RNJ196677 RXF196677 SHB196677 SQX196677 TAT196677 TKP196677 TUL196677 UEH196677 UOD196677 UXZ196677 VHV196677 VRR196677 WBN196677 WLJ196677 WVF196677 B262213 IT262213 SP262213 ACL262213 AMH262213 AWD262213 BFZ262213 BPV262213 BZR262213 CJN262213 CTJ262213 DDF262213 DNB262213 DWX262213 EGT262213 EQP262213 FAL262213 FKH262213 FUD262213 GDZ262213 GNV262213 GXR262213 HHN262213 HRJ262213 IBF262213 ILB262213 IUX262213 JET262213 JOP262213 JYL262213 KIH262213 KSD262213 LBZ262213 LLV262213 LVR262213 MFN262213 MPJ262213 MZF262213 NJB262213 NSX262213 OCT262213 OMP262213 OWL262213 PGH262213 PQD262213 PZZ262213 QJV262213 QTR262213 RDN262213 RNJ262213 RXF262213 SHB262213 SQX262213 TAT262213 TKP262213 TUL262213 UEH262213 UOD262213 UXZ262213 VHV262213 VRR262213 WBN262213 WLJ262213 WVF262213 B327749 IT327749 SP327749 ACL327749 AMH327749 AWD327749 BFZ327749 BPV327749 BZR327749 CJN327749 CTJ327749 DDF327749 DNB327749 DWX327749 EGT327749 EQP327749 FAL327749 FKH327749 FUD327749 GDZ327749 GNV327749 GXR327749 HHN327749 HRJ327749 IBF327749 ILB327749 IUX327749 JET327749 JOP327749 JYL327749 KIH327749 KSD327749 LBZ327749 LLV327749 LVR327749 MFN327749 MPJ327749 MZF327749 NJB327749 NSX327749 OCT327749 OMP327749 OWL327749 PGH327749 PQD327749 PZZ327749 QJV327749 QTR327749 RDN327749 RNJ327749 RXF327749 SHB327749 SQX327749 TAT327749 TKP327749 TUL327749 UEH327749 UOD327749 UXZ327749 VHV327749 VRR327749 WBN327749 WLJ327749 WVF327749 B393285 IT393285 SP393285 ACL393285 AMH393285 AWD393285 BFZ393285 BPV393285 BZR393285 CJN393285 CTJ393285 DDF393285 DNB393285 DWX393285 EGT393285 EQP393285 FAL393285 FKH393285 FUD393285 GDZ393285 GNV393285 GXR393285 HHN393285 HRJ393285 IBF393285 ILB393285 IUX393285 JET393285 JOP393285 JYL393285 KIH393285 KSD393285 LBZ393285 LLV393285 LVR393285 MFN393285 MPJ393285 MZF393285 NJB393285 NSX393285 OCT393285 OMP393285 OWL393285 PGH393285 PQD393285 PZZ393285 QJV393285 QTR393285 RDN393285 RNJ393285 RXF393285 SHB393285 SQX393285 TAT393285 TKP393285 TUL393285 UEH393285 UOD393285 UXZ393285 VHV393285 VRR393285 WBN393285 WLJ393285 WVF393285 B458821 IT458821 SP458821 ACL458821 AMH458821 AWD458821 BFZ458821 BPV458821 BZR458821 CJN458821 CTJ458821 DDF458821 DNB458821 DWX458821 EGT458821 EQP458821 FAL458821 FKH458821 FUD458821 GDZ458821 GNV458821 GXR458821 HHN458821 HRJ458821 IBF458821 ILB458821 IUX458821 JET458821 JOP458821 JYL458821 KIH458821 KSD458821 LBZ458821 LLV458821 LVR458821 MFN458821 MPJ458821 MZF458821 NJB458821 NSX458821 OCT458821 OMP458821 OWL458821 PGH458821 PQD458821 PZZ458821 QJV458821 QTR458821 RDN458821 RNJ458821 RXF458821 SHB458821 SQX458821 TAT458821 TKP458821 TUL458821 UEH458821 UOD458821 UXZ458821 VHV458821 VRR458821 WBN458821 WLJ458821 WVF458821 B524357 IT524357 SP524357 ACL524357 AMH524357 AWD524357 BFZ524357 BPV524357 BZR524357 CJN524357 CTJ524357 DDF524357 DNB524357 DWX524357 EGT524357 EQP524357 FAL524357 FKH524357 FUD524357 GDZ524357 GNV524357 GXR524357 HHN524357 HRJ524357 IBF524357 ILB524357 IUX524357 JET524357 JOP524357 JYL524357 KIH524357 KSD524357 LBZ524357 LLV524357 LVR524357 MFN524357 MPJ524357 MZF524357 NJB524357 NSX524357 OCT524357 OMP524357 OWL524357 PGH524357 PQD524357 PZZ524357 QJV524357 QTR524357 RDN524357 RNJ524357 RXF524357 SHB524357 SQX524357 TAT524357 TKP524357 TUL524357 UEH524357 UOD524357 UXZ524357 VHV524357 VRR524357 WBN524357 WLJ524357 WVF524357 B589893 IT589893 SP589893 ACL589893 AMH589893 AWD589893 BFZ589893 BPV589893 BZR589893 CJN589893 CTJ589893 DDF589893 DNB589893 DWX589893 EGT589893 EQP589893 FAL589893 FKH589893 FUD589893 GDZ589893 GNV589893 GXR589893 HHN589893 HRJ589893 IBF589893 ILB589893 IUX589893 JET589893 JOP589893 JYL589893 KIH589893 KSD589893 LBZ589893 LLV589893 LVR589893 MFN589893 MPJ589893 MZF589893 NJB589893 NSX589893 OCT589893 OMP589893 OWL589893 PGH589893 PQD589893 PZZ589893 QJV589893 QTR589893 RDN589893 RNJ589893 RXF589893 SHB589893 SQX589893 TAT589893 TKP589893 TUL589893 UEH589893 UOD589893 UXZ589893 VHV589893 VRR589893 WBN589893 WLJ589893 WVF589893 B655429 IT655429 SP655429 ACL655429 AMH655429 AWD655429 BFZ655429 BPV655429 BZR655429 CJN655429 CTJ655429 DDF655429 DNB655429 DWX655429 EGT655429 EQP655429 FAL655429 FKH655429 FUD655429 GDZ655429 GNV655429 GXR655429 HHN655429 HRJ655429 IBF655429 ILB655429 IUX655429 JET655429 JOP655429 JYL655429 KIH655429 KSD655429 LBZ655429 LLV655429 LVR655429 MFN655429 MPJ655429 MZF655429 NJB655429 NSX655429 OCT655429 OMP655429 OWL655429 PGH655429 PQD655429 PZZ655429 QJV655429 QTR655429 RDN655429 RNJ655429 RXF655429 SHB655429 SQX655429 TAT655429 TKP655429 TUL655429 UEH655429 UOD655429 UXZ655429 VHV655429 VRR655429 WBN655429 WLJ655429 WVF655429 B720965 IT720965 SP720965 ACL720965 AMH720965 AWD720965 BFZ720965 BPV720965 BZR720965 CJN720965 CTJ720965 DDF720965 DNB720965 DWX720965 EGT720965 EQP720965 FAL720965 FKH720965 FUD720965 GDZ720965 GNV720965 GXR720965 HHN720965 HRJ720965 IBF720965 ILB720965 IUX720965 JET720965 JOP720965 JYL720965 KIH720965 KSD720965 LBZ720965 LLV720965 LVR720965 MFN720965 MPJ720965 MZF720965 NJB720965 NSX720965 OCT720965 OMP720965 OWL720965 PGH720965 PQD720965 PZZ720965 QJV720965 QTR720965 RDN720965 RNJ720965 RXF720965 SHB720965 SQX720965 TAT720965 TKP720965 TUL720965 UEH720965 UOD720965 UXZ720965 VHV720965 VRR720965 WBN720965 WLJ720965 WVF720965 B786501 IT786501 SP786501 ACL786501 AMH786501 AWD786501 BFZ786501 BPV786501 BZR786501 CJN786501 CTJ786501 DDF786501 DNB786501 DWX786501 EGT786501 EQP786501 FAL786501 FKH786501 FUD786501 GDZ786501 GNV786501 GXR786501 HHN786501 HRJ786501 IBF786501 ILB786501 IUX786501 JET786501 JOP786501 JYL786501 KIH786501 KSD786501 LBZ786501 LLV786501 LVR786501 MFN786501 MPJ786501 MZF786501 NJB786501 NSX786501 OCT786501 OMP786501 OWL786501 PGH786501 PQD786501 PZZ786501 QJV786501 QTR786501 RDN786501 RNJ786501 RXF786501 SHB786501 SQX786501 TAT786501 TKP786501 TUL786501 UEH786501 UOD786501 UXZ786501 VHV786501 VRR786501 WBN786501 WLJ786501 WVF786501 B852037 IT852037 SP852037 ACL852037 AMH852037 AWD852037 BFZ852037 BPV852037 BZR852037 CJN852037 CTJ852037 DDF852037 DNB852037 DWX852037 EGT852037 EQP852037 FAL852037 FKH852037 FUD852037 GDZ852037 GNV852037 GXR852037 HHN852037 HRJ852037 IBF852037 ILB852037 IUX852037 JET852037 JOP852037 JYL852037 KIH852037 KSD852037 LBZ852037 LLV852037 LVR852037 MFN852037 MPJ852037 MZF852037 NJB852037 NSX852037 OCT852037 OMP852037 OWL852037 PGH852037 PQD852037 PZZ852037 QJV852037 QTR852037 RDN852037 RNJ852037 RXF852037 SHB852037 SQX852037 TAT852037 TKP852037 TUL852037 UEH852037 UOD852037 UXZ852037 VHV852037 VRR852037 WBN852037 WLJ852037 WVF852037 B917573 IT917573 SP917573 ACL917573 AMH917573 AWD917573 BFZ917573 BPV917573 BZR917573 CJN917573 CTJ917573 DDF917573 DNB917573 DWX917573 EGT917573 EQP917573 FAL917573 FKH917573 FUD917573 GDZ917573 GNV917573 GXR917573 HHN917573 HRJ917573 IBF917573 ILB917573 IUX917573 JET917573 JOP917573 JYL917573 KIH917573 KSD917573 LBZ917573 LLV917573 LVR917573 MFN917573 MPJ917573 MZF917573 NJB917573 NSX917573 OCT917573 OMP917573 OWL917573 PGH917573 PQD917573 PZZ917573 QJV917573 QTR917573 RDN917573 RNJ917573 RXF917573 SHB917573 SQX917573 TAT917573 TKP917573 TUL917573 UEH917573 UOD917573 UXZ917573 VHV917573 VRR917573 WBN917573 WLJ917573 WVF917573 B983109 IT983109 SP983109 ACL983109 AMH983109 AWD983109 BFZ983109 BPV983109 BZR983109 CJN983109 CTJ983109 DDF983109 DNB983109 DWX983109 EGT983109 EQP983109 FAL983109 FKH983109 FUD983109 GDZ983109 GNV983109 GXR983109 HHN983109 HRJ983109 IBF983109 ILB983109 IUX983109 JET983109 JOP983109 JYL983109 KIH983109 KSD983109 LBZ983109 LLV983109 LVR983109 MFN983109 MPJ983109 MZF983109 NJB983109 NSX983109 OCT983109 OMP983109 OWL983109 PGH983109 PQD983109 PZZ983109 QJV983109 QTR983109 RDN983109 RNJ983109 RXF983109 SHB983109 SQX983109 TAT983109 TKP983109 TUL983109 UEH983109 UOD983109 UXZ983109 VHV983109 VRR983109 WBN983109 WLJ983109 WVF983109 B76 IT76 SP76 ACL76 AMH76 AWD76 BFZ76 BPV76 BZR76 CJN76 CTJ76 DDF76 DNB76 DWX76 EGT76 EQP76 FAL76 FKH76 FUD76 GDZ76 GNV76 GXR76 HHN76 HRJ76 IBF76 ILB76 IUX76 JET76 JOP76 JYL76 KIH76 KSD76 LBZ76 LLV76 LVR76 MFN76 MPJ76 MZF76 NJB76 NSX76 OCT76 OMP76 OWL76 PGH76 PQD76 PZZ76 QJV76 QTR76 RDN76 RNJ76 RXF76 SHB76 SQX76 TAT76 TKP76 TUL76 UEH76 UOD76 UXZ76 VHV76 VRR76 WBN76 WLJ76 WVF76 B65612 IT65612 SP65612 ACL65612 AMH65612 AWD65612 BFZ65612 BPV65612 BZR65612 CJN65612 CTJ65612 DDF65612 DNB65612 DWX65612 EGT65612 EQP65612 FAL65612 FKH65612 FUD65612 GDZ65612 GNV65612 GXR65612 HHN65612 HRJ65612 IBF65612 ILB65612 IUX65612 JET65612 JOP65612 JYL65612 KIH65612 KSD65612 LBZ65612 LLV65612 LVR65612 MFN65612 MPJ65612 MZF65612 NJB65612 NSX65612 OCT65612 OMP65612 OWL65612 PGH65612 PQD65612 PZZ65612 QJV65612 QTR65612 RDN65612 RNJ65612 RXF65612 SHB65612 SQX65612 TAT65612 TKP65612 TUL65612 UEH65612 UOD65612 UXZ65612 VHV65612 VRR65612 WBN65612 WLJ65612 WVF65612 B131148 IT131148 SP131148 ACL131148 AMH131148 AWD131148 BFZ131148 BPV131148 BZR131148 CJN131148 CTJ131148 DDF131148 DNB131148 DWX131148 EGT131148 EQP131148 FAL131148 FKH131148 FUD131148 GDZ131148 GNV131148 GXR131148 HHN131148 HRJ131148 IBF131148 ILB131148 IUX131148 JET131148 JOP131148 JYL131148 KIH131148 KSD131148 LBZ131148 LLV131148 LVR131148 MFN131148 MPJ131148 MZF131148 NJB131148 NSX131148 OCT131148 OMP131148 OWL131148 PGH131148 PQD131148 PZZ131148 QJV131148 QTR131148 RDN131148 RNJ131148 RXF131148 SHB131148 SQX131148 TAT131148 TKP131148 TUL131148 UEH131148 UOD131148 UXZ131148 VHV131148 VRR131148 WBN131148 WLJ131148 WVF131148 B196684 IT196684 SP196684 ACL196684 AMH196684 AWD196684 BFZ196684 BPV196684 BZR196684 CJN196684 CTJ196684 DDF196684 DNB196684 DWX196684 EGT196684 EQP196684 FAL196684 FKH196684 FUD196684 GDZ196684 GNV196684 GXR196684 HHN196684 HRJ196684 IBF196684 ILB196684 IUX196684 JET196684 JOP196684 JYL196684 KIH196684 KSD196684 LBZ196684 LLV196684 LVR196684 MFN196684 MPJ196684 MZF196684 NJB196684 NSX196684 OCT196684 OMP196684 OWL196684 PGH196684 PQD196684 PZZ196684 QJV196684 QTR196684 RDN196684 RNJ196684 RXF196684 SHB196684 SQX196684 TAT196684 TKP196684 TUL196684 UEH196684 UOD196684 UXZ196684 VHV196684 VRR196684 WBN196684 WLJ196684 WVF196684 B262220 IT262220 SP262220 ACL262220 AMH262220 AWD262220 BFZ262220 BPV262220 BZR262220 CJN262220 CTJ262220 DDF262220 DNB262220 DWX262220 EGT262220 EQP262220 FAL262220 FKH262220 FUD262220 GDZ262220 GNV262220 GXR262220 HHN262220 HRJ262220 IBF262220 ILB262220 IUX262220 JET262220 JOP262220 JYL262220 KIH262220 KSD262220 LBZ262220 LLV262220 LVR262220 MFN262220 MPJ262220 MZF262220 NJB262220 NSX262220 OCT262220 OMP262220 OWL262220 PGH262220 PQD262220 PZZ262220 QJV262220 QTR262220 RDN262220 RNJ262220 RXF262220 SHB262220 SQX262220 TAT262220 TKP262220 TUL262220 UEH262220 UOD262220 UXZ262220 VHV262220 VRR262220 WBN262220 WLJ262220 WVF262220 B327756 IT327756 SP327756 ACL327756 AMH327756 AWD327756 BFZ327756 BPV327756 BZR327756 CJN327756 CTJ327756 DDF327756 DNB327756 DWX327756 EGT327756 EQP327756 FAL327756 FKH327756 FUD327756 GDZ327756 GNV327756 GXR327756 HHN327756 HRJ327756 IBF327756 ILB327756 IUX327756 JET327756 JOP327756 JYL327756 KIH327756 KSD327756 LBZ327756 LLV327756 LVR327756 MFN327756 MPJ327756 MZF327756 NJB327756 NSX327756 OCT327756 OMP327756 OWL327756 PGH327756 PQD327756 PZZ327756 QJV327756 QTR327756 RDN327756 RNJ327756 RXF327756 SHB327756 SQX327756 TAT327756 TKP327756 TUL327756 UEH327756 UOD327756 UXZ327756 VHV327756 VRR327756 WBN327756 WLJ327756 WVF327756 B393292 IT393292 SP393292 ACL393292 AMH393292 AWD393292 BFZ393292 BPV393292 BZR393292 CJN393292 CTJ393292 DDF393292 DNB393292 DWX393292 EGT393292 EQP393292 FAL393292 FKH393292 FUD393292 GDZ393292 GNV393292 GXR393292 HHN393292 HRJ393292 IBF393292 ILB393292 IUX393292 JET393292 JOP393292 JYL393292 KIH393292 KSD393292 LBZ393292 LLV393292 LVR393292 MFN393292 MPJ393292 MZF393292 NJB393292 NSX393292 OCT393292 OMP393292 OWL393292 PGH393292 PQD393292 PZZ393292 QJV393292 QTR393292 RDN393292 RNJ393292 RXF393292 SHB393292 SQX393292 TAT393292 TKP393292 TUL393292 UEH393292 UOD393292 UXZ393292 VHV393292 VRR393292 WBN393292 WLJ393292 WVF393292 B458828 IT458828 SP458828 ACL458828 AMH458828 AWD458828 BFZ458828 BPV458828 BZR458828 CJN458828 CTJ458828 DDF458828 DNB458828 DWX458828 EGT458828 EQP458828 FAL458828 FKH458828 FUD458828 GDZ458828 GNV458828 GXR458828 HHN458828 HRJ458828 IBF458828 ILB458828 IUX458828 JET458828 JOP458828 JYL458828 KIH458828 KSD458828 LBZ458828 LLV458828 LVR458828 MFN458828 MPJ458828 MZF458828 NJB458828 NSX458828 OCT458828 OMP458828 OWL458828 PGH458828 PQD458828 PZZ458828 QJV458828 QTR458828 RDN458828 RNJ458828 RXF458828 SHB458828 SQX458828 TAT458828 TKP458828 TUL458828 UEH458828 UOD458828 UXZ458828 VHV458828 VRR458828 WBN458828 WLJ458828 WVF458828 B524364 IT524364 SP524364 ACL524364 AMH524364 AWD524364 BFZ524364 BPV524364 BZR524364 CJN524364 CTJ524364 DDF524364 DNB524364 DWX524364 EGT524364 EQP524364 FAL524364 FKH524364 FUD524364 GDZ524364 GNV524364 GXR524364 HHN524364 HRJ524364 IBF524364 ILB524364 IUX524364 JET524364 JOP524364 JYL524364 KIH524364 KSD524364 LBZ524364 LLV524364 LVR524364 MFN524364 MPJ524364 MZF524364 NJB524364 NSX524364 OCT524364 OMP524364 OWL524364 PGH524364 PQD524364 PZZ524364 QJV524364 QTR524364 RDN524364 RNJ524364 RXF524364 SHB524364 SQX524364 TAT524364 TKP524364 TUL524364 UEH524364 UOD524364 UXZ524364 VHV524364 VRR524364 WBN524364 WLJ524364 WVF524364 B589900 IT589900 SP589900 ACL589900 AMH589900 AWD589900 BFZ589900 BPV589900 BZR589900 CJN589900 CTJ589900 DDF589900 DNB589900 DWX589900 EGT589900 EQP589900 FAL589900 FKH589900 FUD589900 GDZ589900 GNV589900 GXR589900 HHN589900 HRJ589900 IBF589900 ILB589900 IUX589900 JET589900 JOP589900 JYL589900 KIH589900 KSD589900 LBZ589900 LLV589900 LVR589900 MFN589900 MPJ589900 MZF589900 NJB589900 NSX589900 OCT589900 OMP589900 OWL589900 PGH589900 PQD589900 PZZ589900 QJV589900 QTR589900 RDN589900 RNJ589900 RXF589900 SHB589900 SQX589900 TAT589900 TKP589900 TUL589900 UEH589900 UOD589900 UXZ589900 VHV589900 VRR589900 WBN589900 WLJ589900 WVF589900 B655436 IT655436 SP655436 ACL655436 AMH655436 AWD655436 BFZ655436 BPV655436 BZR655436 CJN655436 CTJ655436 DDF655436 DNB655436 DWX655436 EGT655436 EQP655436 FAL655436 FKH655436 FUD655436 GDZ655436 GNV655436 GXR655436 HHN655436 HRJ655436 IBF655436 ILB655436 IUX655436 JET655436 JOP655436 JYL655436 KIH655436 KSD655436 LBZ655436 LLV655436 LVR655436 MFN655436 MPJ655436 MZF655436 NJB655436 NSX655436 OCT655436 OMP655436 OWL655436 PGH655436 PQD655436 PZZ655436 QJV655436 QTR655436 RDN655436 RNJ655436 RXF655436 SHB655436 SQX655436 TAT655436 TKP655436 TUL655436 UEH655436 UOD655436 UXZ655436 VHV655436 VRR655436 WBN655436 WLJ655436 WVF655436 B720972 IT720972 SP720972 ACL720972 AMH720972 AWD720972 BFZ720972 BPV720972 BZR720972 CJN720972 CTJ720972 DDF720972 DNB720972 DWX720972 EGT720972 EQP720972 FAL720972 FKH720972 FUD720972 GDZ720972 GNV720972 GXR720972 HHN720972 HRJ720972 IBF720972 ILB720972 IUX720972 JET720972 JOP720972 JYL720972 KIH720972 KSD720972 LBZ720972 LLV720972 LVR720972 MFN720972 MPJ720972 MZF720972 NJB720972 NSX720972 OCT720972 OMP720972 OWL720972 PGH720972 PQD720972 PZZ720972 QJV720972 QTR720972 RDN720972 RNJ720972 RXF720972 SHB720972 SQX720972 TAT720972 TKP720972 TUL720972 UEH720972 UOD720972 UXZ720972 VHV720972 VRR720972 WBN720972 WLJ720972 WVF720972 B786508 IT786508 SP786508 ACL786508 AMH786508 AWD786508 BFZ786508 BPV786508 BZR786508 CJN786508 CTJ786508 DDF786508 DNB786508 DWX786508 EGT786508 EQP786508 FAL786508 FKH786508 FUD786508 GDZ786508 GNV786508 GXR786508 HHN786508 HRJ786508 IBF786508 ILB786508 IUX786508 JET786508 JOP786508 JYL786508 KIH786508 KSD786508 LBZ786508 LLV786508 LVR786508 MFN786508 MPJ786508 MZF786508 NJB786508 NSX786508 OCT786508 OMP786508 OWL786508 PGH786508 PQD786508 PZZ786508 QJV786508 QTR786508 RDN786508 RNJ786508 RXF786508 SHB786508 SQX786508 TAT786508 TKP786508 TUL786508 UEH786508 UOD786508 UXZ786508 VHV786508 VRR786508 WBN786508 WLJ786508 WVF786508 B852044 IT852044 SP852044 ACL852044 AMH852044 AWD852044 BFZ852044 BPV852044 BZR852044 CJN852044 CTJ852044 DDF852044 DNB852044 DWX852044 EGT852044 EQP852044 FAL852044 FKH852044 FUD852044 GDZ852044 GNV852044 GXR852044 HHN852044 HRJ852044 IBF852044 ILB852044 IUX852044 JET852044 JOP852044 JYL852044 KIH852044 KSD852044 LBZ852044 LLV852044 LVR852044 MFN852044 MPJ852044 MZF852044 NJB852044 NSX852044 OCT852044 OMP852044 OWL852044 PGH852044 PQD852044 PZZ852044 QJV852044 QTR852044 RDN852044 RNJ852044 RXF852044 SHB852044 SQX852044 TAT852044 TKP852044 TUL852044 UEH852044 UOD852044 UXZ852044 VHV852044 VRR852044 WBN852044 WLJ852044 WVF852044 B917580 IT917580 SP917580 ACL917580 AMH917580 AWD917580 BFZ917580 BPV917580 BZR917580 CJN917580 CTJ917580 DDF917580 DNB917580 DWX917580 EGT917580 EQP917580 FAL917580 FKH917580 FUD917580 GDZ917580 GNV917580 GXR917580 HHN917580 HRJ917580 IBF917580 ILB917580 IUX917580 JET917580 JOP917580 JYL917580 KIH917580 KSD917580 LBZ917580 LLV917580 LVR917580 MFN917580 MPJ917580 MZF917580 NJB917580 NSX917580 OCT917580 OMP917580 OWL917580 PGH917580 PQD917580 PZZ917580 QJV917580 QTR917580 RDN917580 RNJ917580 RXF917580 SHB917580 SQX917580 TAT917580 TKP917580 TUL917580 UEH917580 UOD917580 UXZ917580 VHV917580 VRR917580 WBN917580 WLJ917580 WVF917580 B983116 IT983116 SP983116 ACL983116 AMH983116 AWD983116 BFZ983116 BPV983116 BZR983116 CJN983116 CTJ983116 DDF983116 DNB983116 DWX983116 EGT983116 EQP983116 FAL983116 FKH983116 FUD983116 GDZ983116 GNV983116 GXR983116 HHN983116 HRJ983116 IBF983116 ILB983116 IUX983116 JET983116 JOP983116 JYL983116 KIH983116 KSD983116 LBZ983116 LLV983116 LVR983116 MFN983116 MPJ983116 MZF983116 NJB983116 NSX983116 OCT983116 OMP983116 OWL983116 PGH983116 PQD983116 PZZ983116 QJV983116 QTR983116 RDN983116 RNJ983116 RXF983116 SHB983116 SQX983116 TAT983116 TKP983116 TUL983116 UEH983116 UOD983116 UXZ983116 VHV983116 VRR983116 WBN983116 WLJ983116 WVF983116 B87 IT87 SP87 ACL87 AMH87 AWD87 BFZ87 BPV87 BZR87 CJN87 CTJ87 DDF87 DNB87 DWX87 EGT87 EQP87 FAL87 FKH87 FUD87 GDZ87 GNV87 GXR87 HHN87 HRJ87 IBF87 ILB87 IUX87 JET87 JOP87 JYL87 KIH87 KSD87 LBZ87 LLV87 LVR87 MFN87 MPJ87 MZF87 NJB87 NSX87 OCT87 OMP87 OWL87 PGH87 PQD87 PZZ87 QJV87 QTR87 RDN87 RNJ87 RXF87 SHB87 SQX87 TAT87 TKP87 TUL87 UEH87 UOD87 UXZ87 VHV87 VRR87 WBN87 WLJ87 WVF87 B65623 IT65623 SP65623 ACL65623 AMH65623 AWD65623 BFZ65623 BPV65623 BZR65623 CJN65623 CTJ65623 DDF65623 DNB65623 DWX65623 EGT65623 EQP65623 FAL65623 FKH65623 FUD65623 GDZ65623 GNV65623 GXR65623 HHN65623 HRJ65623 IBF65623 ILB65623 IUX65623 JET65623 JOP65623 JYL65623 KIH65623 KSD65623 LBZ65623 LLV65623 LVR65623 MFN65623 MPJ65623 MZF65623 NJB65623 NSX65623 OCT65623 OMP65623 OWL65623 PGH65623 PQD65623 PZZ65623 QJV65623 QTR65623 RDN65623 RNJ65623 RXF65623 SHB65623 SQX65623 TAT65623 TKP65623 TUL65623 UEH65623 UOD65623 UXZ65623 VHV65623 VRR65623 WBN65623 WLJ65623 WVF65623 B131159 IT131159 SP131159 ACL131159 AMH131159 AWD131159 BFZ131159 BPV131159 BZR131159 CJN131159 CTJ131159 DDF131159 DNB131159 DWX131159 EGT131159 EQP131159 FAL131159 FKH131159 FUD131159 GDZ131159 GNV131159 GXR131159 HHN131159 HRJ131159 IBF131159 ILB131159 IUX131159 JET131159 JOP131159 JYL131159 KIH131159 KSD131159 LBZ131159 LLV131159 LVR131159 MFN131159 MPJ131159 MZF131159 NJB131159 NSX131159 OCT131159 OMP131159 OWL131159 PGH131159 PQD131159 PZZ131159 QJV131159 QTR131159 RDN131159 RNJ131159 RXF131159 SHB131159 SQX131159 TAT131159 TKP131159 TUL131159 UEH131159 UOD131159 UXZ131159 VHV131159 VRR131159 WBN131159 WLJ131159 WVF131159 B196695 IT196695 SP196695 ACL196695 AMH196695 AWD196695 BFZ196695 BPV196695 BZR196695 CJN196695 CTJ196695 DDF196695 DNB196695 DWX196695 EGT196695 EQP196695 FAL196695 FKH196695 FUD196695 GDZ196695 GNV196695 GXR196695 HHN196695 HRJ196695 IBF196695 ILB196695 IUX196695 JET196695 JOP196695 JYL196695 KIH196695 KSD196695 LBZ196695 LLV196695 LVR196695 MFN196695 MPJ196695 MZF196695 NJB196695 NSX196695 OCT196695 OMP196695 OWL196695 PGH196695 PQD196695 PZZ196695 QJV196695 QTR196695 RDN196695 RNJ196695 RXF196695 SHB196695 SQX196695 TAT196695 TKP196695 TUL196695 UEH196695 UOD196695 UXZ196695 VHV196695 VRR196695 WBN196695 WLJ196695 WVF196695 B262231 IT262231 SP262231 ACL262231 AMH262231 AWD262231 BFZ262231 BPV262231 BZR262231 CJN262231 CTJ262231 DDF262231 DNB262231 DWX262231 EGT262231 EQP262231 FAL262231 FKH262231 FUD262231 GDZ262231 GNV262231 GXR262231 HHN262231 HRJ262231 IBF262231 ILB262231 IUX262231 JET262231 JOP262231 JYL262231 KIH262231 KSD262231 LBZ262231 LLV262231 LVR262231 MFN262231 MPJ262231 MZF262231 NJB262231 NSX262231 OCT262231 OMP262231 OWL262231 PGH262231 PQD262231 PZZ262231 QJV262231 QTR262231 RDN262231 RNJ262231 RXF262231 SHB262231 SQX262231 TAT262231 TKP262231 TUL262231 UEH262231 UOD262231 UXZ262231 VHV262231 VRR262231 WBN262231 WLJ262231 WVF262231 B327767 IT327767 SP327767 ACL327767 AMH327767 AWD327767 BFZ327767 BPV327767 BZR327767 CJN327767 CTJ327767 DDF327767 DNB327767 DWX327767 EGT327767 EQP327767 FAL327767 FKH327767 FUD327767 GDZ327767 GNV327767 GXR327767 HHN327767 HRJ327767 IBF327767 ILB327767 IUX327767 JET327767 JOP327767 JYL327767 KIH327767 KSD327767 LBZ327767 LLV327767 LVR327767 MFN327767 MPJ327767 MZF327767 NJB327767 NSX327767 OCT327767 OMP327767 OWL327767 PGH327767 PQD327767 PZZ327767 QJV327767 QTR327767 RDN327767 RNJ327767 RXF327767 SHB327767 SQX327767 TAT327767 TKP327767 TUL327767 UEH327767 UOD327767 UXZ327767 VHV327767 VRR327767 WBN327767 WLJ327767 WVF327767 B393303 IT393303 SP393303 ACL393303 AMH393303 AWD393303 BFZ393303 BPV393303 BZR393303 CJN393303 CTJ393303 DDF393303 DNB393303 DWX393303 EGT393303 EQP393303 FAL393303 FKH393303 FUD393303 GDZ393303 GNV393303 GXR393303 HHN393303 HRJ393303 IBF393303 ILB393303 IUX393303 JET393303 JOP393303 JYL393303 KIH393303 KSD393303 LBZ393303 LLV393303 LVR393303 MFN393303 MPJ393303 MZF393303 NJB393303 NSX393303 OCT393303 OMP393303 OWL393303 PGH393303 PQD393303 PZZ393303 QJV393303 QTR393303 RDN393303 RNJ393303 RXF393303 SHB393303 SQX393303 TAT393303 TKP393303 TUL393303 UEH393303 UOD393303 UXZ393303 VHV393303 VRR393303 WBN393303 WLJ393303 WVF393303 B458839 IT458839 SP458839 ACL458839 AMH458839 AWD458839 BFZ458839 BPV458839 BZR458839 CJN458839 CTJ458839 DDF458839 DNB458839 DWX458839 EGT458839 EQP458839 FAL458839 FKH458839 FUD458839 GDZ458839 GNV458839 GXR458839 HHN458839 HRJ458839 IBF458839 ILB458839 IUX458839 JET458839 JOP458839 JYL458839 KIH458839 KSD458839 LBZ458839 LLV458839 LVR458839 MFN458839 MPJ458839 MZF458839 NJB458839 NSX458839 OCT458839 OMP458839 OWL458839 PGH458839 PQD458839 PZZ458839 QJV458839 QTR458839 RDN458839 RNJ458839 RXF458839 SHB458839 SQX458839 TAT458839 TKP458839 TUL458839 UEH458839 UOD458839 UXZ458839 VHV458839 VRR458839 WBN458839 WLJ458839 WVF458839 B524375 IT524375 SP524375 ACL524375 AMH524375 AWD524375 BFZ524375 BPV524375 BZR524375 CJN524375 CTJ524375 DDF524375 DNB524375 DWX524375 EGT524375 EQP524375 FAL524375 FKH524375 FUD524375 GDZ524375 GNV524375 GXR524375 HHN524375 HRJ524375 IBF524375 ILB524375 IUX524375 JET524375 JOP524375 JYL524375 KIH524375 KSD524375 LBZ524375 LLV524375 LVR524375 MFN524375 MPJ524375 MZF524375 NJB524375 NSX524375 OCT524375 OMP524375 OWL524375 PGH524375 PQD524375 PZZ524375 QJV524375 QTR524375 RDN524375 RNJ524375 RXF524375 SHB524375 SQX524375 TAT524375 TKP524375 TUL524375 UEH524375 UOD524375 UXZ524375 VHV524375 VRR524375 WBN524375 WLJ524375 WVF524375 B589911 IT589911 SP589911 ACL589911 AMH589911 AWD589911 BFZ589911 BPV589911 BZR589911 CJN589911 CTJ589911 DDF589911 DNB589911 DWX589911 EGT589911 EQP589911 FAL589911 FKH589911 FUD589911 GDZ589911 GNV589911 GXR589911 HHN589911 HRJ589911 IBF589911 ILB589911 IUX589911 JET589911 JOP589911 JYL589911 KIH589911 KSD589911 LBZ589911 LLV589911 LVR589911 MFN589911 MPJ589911 MZF589911 NJB589911 NSX589911 OCT589911 OMP589911 OWL589911 PGH589911 PQD589911 PZZ589911 QJV589911 QTR589911 RDN589911 RNJ589911 RXF589911 SHB589911 SQX589911 TAT589911 TKP589911 TUL589911 UEH589911 UOD589911 UXZ589911 VHV589911 VRR589911 WBN589911 WLJ589911 WVF589911 B655447 IT655447 SP655447 ACL655447 AMH655447 AWD655447 BFZ655447 BPV655447 BZR655447 CJN655447 CTJ655447 DDF655447 DNB655447 DWX655447 EGT655447 EQP655447 FAL655447 FKH655447 FUD655447 GDZ655447 GNV655447 GXR655447 HHN655447 HRJ655447 IBF655447 ILB655447 IUX655447 JET655447 JOP655447 JYL655447 KIH655447 KSD655447 LBZ655447 LLV655447 LVR655447 MFN655447 MPJ655447 MZF655447 NJB655447 NSX655447 OCT655447 OMP655447 OWL655447 PGH655447 PQD655447 PZZ655447 QJV655447 QTR655447 RDN655447 RNJ655447 RXF655447 SHB655447 SQX655447 TAT655447 TKP655447 TUL655447 UEH655447 UOD655447 UXZ655447 VHV655447 VRR655447 WBN655447 WLJ655447 WVF655447 B720983 IT720983 SP720983 ACL720983 AMH720983 AWD720983 BFZ720983 BPV720983 BZR720983 CJN720983 CTJ720983 DDF720983 DNB720983 DWX720983 EGT720983 EQP720983 FAL720983 FKH720983 FUD720983 GDZ720983 GNV720983 GXR720983 HHN720983 HRJ720983 IBF720983 ILB720983 IUX720983 JET720983 JOP720983 JYL720983 KIH720983 KSD720983 LBZ720983 LLV720983 LVR720983 MFN720983 MPJ720983 MZF720983 NJB720983 NSX720983 OCT720983 OMP720983 OWL720983 PGH720983 PQD720983 PZZ720983 QJV720983 QTR720983 RDN720983 RNJ720983 RXF720983 SHB720983 SQX720983 TAT720983 TKP720983 TUL720983 UEH720983 UOD720983 UXZ720983 VHV720983 VRR720983 WBN720983 WLJ720983 WVF720983 B786519 IT786519 SP786519 ACL786519 AMH786519 AWD786519 BFZ786519 BPV786519 BZR786519 CJN786519 CTJ786519 DDF786519 DNB786519 DWX786519 EGT786519 EQP786519 FAL786519 FKH786519 FUD786519 GDZ786519 GNV786519 GXR786519 HHN786519 HRJ786519 IBF786519 ILB786519 IUX786519 JET786519 JOP786519 JYL786519 KIH786519 KSD786519 LBZ786519 LLV786519 LVR786519 MFN786519 MPJ786519 MZF786519 NJB786519 NSX786519 OCT786519 OMP786519 OWL786519 PGH786519 PQD786519 PZZ786519 QJV786519 QTR786519 RDN786519 RNJ786519 RXF786519 SHB786519 SQX786519 TAT786519 TKP786519 TUL786519 UEH786519 UOD786519 UXZ786519 VHV786519 VRR786519 WBN786519 WLJ786519 WVF786519 B852055 IT852055 SP852055 ACL852055 AMH852055 AWD852055 BFZ852055 BPV852055 BZR852055 CJN852055 CTJ852055 DDF852055 DNB852055 DWX852055 EGT852055 EQP852055 FAL852055 FKH852055 FUD852055 GDZ852055 GNV852055 GXR852055 HHN852055 HRJ852055 IBF852055 ILB852055 IUX852055 JET852055 JOP852055 JYL852055 KIH852055 KSD852055 LBZ852055 LLV852055 LVR852055 MFN852055 MPJ852055 MZF852055 NJB852055 NSX852055 OCT852055 OMP852055 OWL852055 PGH852055 PQD852055 PZZ852055 QJV852055 QTR852055 RDN852055 RNJ852055 RXF852055 SHB852055 SQX852055 TAT852055 TKP852055 TUL852055 UEH852055 UOD852055 UXZ852055 VHV852055 VRR852055 WBN852055 WLJ852055 WVF852055 B917591 IT917591 SP917591 ACL917591 AMH917591 AWD917591 BFZ917591 BPV917591 BZR917591 CJN917591 CTJ917591 DDF917591 DNB917591 DWX917591 EGT917591 EQP917591 FAL917591 FKH917591 FUD917591 GDZ917591 GNV917591 GXR917591 HHN917591 HRJ917591 IBF917591 ILB917591 IUX917591 JET917591 JOP917591 JYL917591 KIH917591 KSD917591 LBZ917591 LLV917591 LVR917591 MFN917591 MPJ917591 MZF917591 NJB917591 NSX917591 OCT917591 OMP917591 OWL917591 PGH917591 PQD917591 PZZ917591 QJV917591 QTR917591 RDN917591 RNJ917591 RXF917591 SHB917591 SQX917591 TAT917591 TKP917591 TUL917591 UEH917591 UOD917591 UXZ917591 VHV917591 VRR917591 WBN917591 WLJ917591 WVF917591 B983127 IT983127 SP983127 ACL983127 AMH983127 AWD983127 BFZ983127 BPV983127 BZR983127 CJN983127 CTJ983127 DDF983127 DNB983127 DWX983127 EGT983127 EQP983127 FAL983127 FKH983127 FUD983127 GDZ983127 GNV983127 GXR983127 HHN983127 HRJ983127 IBF983127 ILB983127 IUX983127 JET983127 JOP983127 JYL983127 KIH983127 KSD983127 LBZ983127 LLV983127 LVR983127 MFN983127 MPJ983127 MZF983127 NJB983127 NSX983127 OCT983127 OMP983127 OWL983127 PGH983127 PQD983127 PZZ983127 QJV983127 QTR983127 RDN983127 RNJ983127 RXF983127 SHB983127 SQX983127 TAT983127 TKP983127 TUL983127 UEH983127 UOD983127 UXZ983127 VHV983127 VRR983127 WBN983127 WLJ983127 WVF983127" xr:uid="{6C25A9BB-DC10-7045-B0D6-EE830CEB411A}">
      <formula1>#REF!</formula1>
    </dataValidation>
  </dataValidations>
  <hyperlinks>
    <hyperlink ref="O9" r:id="rId1" xr:uid="{B782E7E5-574F-6247-AD4B-AE9C57820313}"/>
    <hyperlink ref="O21" r:id="rId2" display="http://www.tverfin.ru/np-baza/regionalnye-normativnye-pravovye-akty/ " xr:uid="{FD8DF151-E99F-A547-AE2B-E328E0035040}"/>
    <hyperlink ref="O11" r:id="rId3" xr:uid="{D7212FD6-3A21-454C-95CF-A18AF502574E}"/>
    <hyperlink ref="P16" r:id="rId4" xr:uid="{11F84274-DD95-F54B-B473-AF1E13C505A8}"/>
    <hyperlink ref="O15" r:id="rId5" xr:uid="{5F4599A5-07A0-454D-B919-913D418F3C7C}"/>
    <hyperlink ref="O16" r:id="rId6" display="http://mef.mosreg.ru " xr:uid="{2758A8DA-29D5-CA4C-B18D-858D5E4A8728}"/>
    <hyperlink ref="O17" r:id="rId7" xr:uid="{40511BAF-7E73-EF4D-AF7A-33F165C16B40}"/>
    <hyperlink ref="P17" r:id="rId8" display="http://depfin.orel-region.ru:8096/ebudget/Menu/Page/36" xr:uid="{0F908101-7259-CA41-A492-42140EFBCB5F}"/>
    <hyperlink ref="O22" r:id="rId9" xr:uid="{36304066-CBBD-DA44-8759-FCFA1BA37F24}"/>
    <hyperlink ref="O23" r:id="rId10" xr:uid="{AFB8A639-5DF9-564E-873D-1BB03C12A438}"/>
    <hyperlink ref="O24" r:id="rId11" display="https://www.mos.ru/findep/ " xr:uid="{30D87DF8-467B-AF4B-9BAB-80E89C42E529}"/>
    <hyperlink ref="O28" r:id="rId12" xr:uid="{48342587-1FB7-5848-A8D7-1F1EA9775CC6}"/>
    <hyperlink ref="O30" r:id="rId13" xr:uid="{1B7394A2-2D13-0B4D-9214-16B34F541AB4}"/>
    <hyperlink ref="O32" r:id="rId14" xr:uid="{0B823AE9-BB56-0746-AF5F-AAC453FF1B5A}"/>
    <hyperlink ref="P34" r:id="rId15" display="http://bks.pskov.ru/ebudget/Show/Category/10?ItemId=257" xr:uid="{E182804F-4638-A943-83F0-34AD78640E87}"/>
    <hyperlink ref="O36" r:id="rId16" xr:uid="{D0CF1C94-F563-1948-BC77-ECFBF990E56F}"/>
    <hyperlink ref="O47" r:id="rId17" xr:uid="{57AD1A09-0045-4641-9F67-DBA15EA9C640}"/>
    <hyperlink ref="O53" r:id="rId18" xr:uid="{73FBECE7-736F-F648-8FF3-879BB696C7A7}"/>
    <hyperlink ref="O63" r:id="rId19" xr:uid="{319958AD-5105-9243-A5BE-FE494C16DECF}"/>
    <hyperlink ref="O65" r:id="rId20" xr:uid="{5FB4C691-A00A-8146-ADA6-2FE95FF4C6CA}"/>
    <hyperlink ref="O68" r:id="rId21" display="http://ufo.ulntc.ru/index.php?mgf=budget/open_budget&amp;slep=net" xr:uid="{12A8183F-6AEF-8D42-873D-BAA1F4452BE5}"/>
    <hyperlink ref="O71" r:id="rId22" location="document_list" xr:uid="{EE992F8F-F5FF-4F44-86D1-CD1FD7EEB311}"/>
    <hyperlink ref="O73" r:id="rId23" xr:uid="{F68052A6-0B39-924F-BBE3-B8F055DF1548}"/>
    <hyperlink ref="O81" r:id="rId24" xr:uid="{BAEB4582-89D7-9949-8BAB-D07785AC08E5}"/>
    <hyperlink ref="O84" r:id="rId25" xr:uid="{F23F9D6F-ED57-6B43-BD8A-38029A236695}"/>
    <hyperlink ref="O90" r:id="rId26" xr:uid="{4D503AD8-2CAC-D74D-B10A-AE4B40A595D3}"/>
    <hyperlink ref="O92" r:id="rId27" xr:uid="{B9B02813-34E2-E44B-BA64-B6C1F71B2BDF}"/>
    <hyperlink ref="O94" r:id="rId28" display="https://www.fin.amurobl.ru/pages/normativno-pravovye-akty/regionalnyy-uroven/zakony-ao/" xr:uid="{8F9B1495-50D5-3248-8A99-9D151F925A2B}"/>
    <hyperlink ref="O95" r:id="rId29" display="https://minfin.49gov.ru/documents/" xr:uid="{36E19F5B-11D3-3043-9CAE-67BB1543E392}"/>
    <hyperlink ref="O96" r:id="rId30" display="http://sakhminfin.ru/" xr:uid="{27770A11-1EA8-0546-93D8-474A4DCD035D}"/>
    <hyperlink ref="O98" r:id="rId31" xr:uid="{3310C945-58DB-1243-BE96-4FABB1A6D9BF}"/>
    <hyperlink ref="O18" r:id="rId32" xr:uid="{EE89431E-2A93-AE4F-A1A4-4A4A49E98EE3}"/>
    <hyperlink ref="O50" r:id="rId33" xr:uid="{D30A51E7-F09A-0C43-9A17-320A148C98D5}"/>
    <hyperlink ref="P52" r:id="rId34" display="http://forcitizens.ru/ob/dokumenty/zakon-o-byudzhete/2022-god" xr:uid="{670D446A-1E87-814F-8A0A-65D94B8674C6}"/>
    <hyperlink ref="O62" r:id="rId35" display="http://www.minfin.kirov.ru/otkrytyy-byudzhet/dlya-spetsialistov/oblastnoy-byudzhet/%d0%9f%d0%bb%d0%b0%d0%bd%d0%b8%d1%80%d0%be%d0%b2%d0%b0%d0%bd%d0%b8%d0%b5%20%d0%b1%d1%8e%d0%b4%d0%b6%d0%b5%d1%82%d0%b0/" xr:uid="{DBF225ED-4FF8-8043-9BB6-8CA6D576E05E}"/>
    <hyperlink ref="O67" r:id="rId36" display="http://saratov.gov.ru/gov/auth/minfin/" xr:uid="{1FF0C20E-02BB-DB47-9895-B1EBDB79EE1B}"/>
    <hyperlink ref="O82" r:id="rId37" xr:uid="{430F9B7A-BA7A-7F4C-80E3-17226E3EE691}"/>
    <hyperlink ref="O7" r:id="rId38" xr:uid="{C39B2116-79F5-E743-B7DF-5E9460558A57}"/>
    <hyperlink ref="O10" r:id="rId39" xr:uid="{AEA23AC1-9570-034F-985C-6A342FAF0CE9}"/>
    <hyperlink ref="O13" r:id="rId40" xr:uid="{9AC20E42-90AD-8848-A6B1-710D87D62B6F}"/>
    <hyperlink ref="O14" r:id="rId41" xr:uid="{DD3DADAB-7C29-E849-B72D-D0DE03BEEAFB}"/>
    <hyperlink ref="O19" r:id="rId42" xr:uid="{08935E93-10E5-2746-8920-EA65EE0905A5}"/>
    <hyperlink ref="P21" r:id="rId43" xr:uid="{1FDCE6D5-B487-D44E-949E-86E5C30FD1BF}"/>
    <hyperlink ref="P24" r:id="rId44" xr:uid="{E52AE192-8F29-794A-9924-2F14FD38DE24}"/>
    <hyperlink ref="O26" r:id="rId45" xr:uid="{C48CFD32-1D1A-1F42-9397-A7EF462EB701}"/>
    <hyperlink ref="O27" r:id="rId46" xr:uid="{20DBDB68-8B93-A446-A199-0A050CFA616B}"/>
    <hyperlink ref="O29" r:id="rId47" xr:uid="{BB171DD6-94DC-2E48-AFC5-B8D52CAD0272}"/>
    <hyperlink ref="O31" r:id="rId48" xr:uid="{782AFE18-2846-B64D-90B1-BE8B50AB6A0D}"/>
    <hyperlink ref="O35" r:id="rId49" xr:uid="{F723662C-BDAC-1842-882E-B101CFEE868F}"/>
    <hyperlink ref="O39" r:id="rId50" xr:uid="{650F9CB8-E90A-CE4C-A061-84FB9648528F}"/>
    <hyperlink ref="O38" r:id="rId51" xr:uid="{8CF423B0-9BB8-6D4D-940C-33F49D6FB4D2}"/>
    <hyperlink ref="O40" r:id="rId52" xr:uid="{F07EC956-74E4-C742-9FF7-130A39D29C81}"/>
    <hyperlink ref="O41" r:id="rId53" xr:uid="{6255B344-71A5-9740-9255-07B0CD7DB854}"/>
    <hyperlink ref="O44" r:id="rId54" xr:uid="{ADD801ED-5873-504A-A85D-CEEE37767EB4}"/>
    <hyperlink ref="O45" r:id="rId55" display="https://fin.sev.gov.ru/pravovye-aktu/regionalnye-npa/regionalnye-npa-2021/" xr:uid="{A738744E-A880-4941-94D1-8E8D58440F82}"/>
    <hyperlink ref="P45" r:id="rId56" xr:uid="{99737759-2C33-274B-B923-96ABA60BF427}"/>
    <hyperlink ref="O49" r:id="rId57" xr:uid="{A585F04D-892D-574C-8728-80958B939E13}"/>
    <hyperlink ref="O51" r:id="rId58" xr:uid="{ABDCF4DE-F534-B943-8173-5D4D41C72448}"/>
    <hyperlink ref="O52" r:id="rId59" display="https://www.minfinchr.ru/deyatelnost/byudzhet/planirovanie-byudzheta" xr:uid="{92F99FB4-4CF4-134D-BDE1-F14A74D40E23}"/>
    <hyperlink ref="O55" r:id="rId60" xr:uid="{71EE91C2-7154-8342-BB1E-9A433B614A3D}"/>
    <hyperlink ref="O57" r:id="rId61" xr:uid="{D17E691E-73E6-5E41-AB20-A75AA1019A71}"/>
    <hyperlink ref="O58" r:id="rId62" xr:uid="{827F31B0-14F4-2446-9679-5DA9E3DC2DFD}"/>
    <hyperlink ref="O59" r:id="rId63" xr:uid="{FB7B04F8-4DB4-F148-8EB8-6065A1E472F2}"/>
    <hyperlink ref="O60" r:id="rId64" xr:uid="{346E3775-9126-B649-A74D-D98A83959989}"/>
    <hyperlink ref="O61" r:id="rId65" xr:uid="{C1EA1C14-AB91-EB49-83D2-6BD00807FC42}"/>
    <hyperlink ref="O66" r:id="rId66" xr:uid="{071E1C3C-297B-1641-BA34-846DAEF9B50B}"/>
    <hyperlink ref="P67" r:id="rId67" xr:uid="{ACAEEA1C-3698-1246-8AA5-FF10AE34FE57}"/>
    <hyperlink ref="P68" r:id="rId68" xr:uid="{658BAC38-B7D4-3945-855E-73E01C6F06F6}"/>
    <hyperlink ref="O70" r:id="rId69" xr:uid="{941BC9FA-8483-FC44-87EC-446BEB5384D6}"/>
    <hyperlink ref="O72" r:id="rId70" xr:uid="{BAA0CA01-CA1A-0644-B38C-B3AE8F0EB12F}"/>
    <hyperlink ref="O74" display="https://depfin.admhmao.ru/otkrytyy-byudzhet/planirovanie-byudzheta/zakony-o-byudzhete-avtonomnogo-okruga/na-2023-god-i-na-planovyy-period-2024-i-2025-godov/8165215/zakon-khanty-mansiyskogo-avtonomnogo-okruga-yugry-ot-24-11-2022-goda-132-oz-o-byudzhete-kha" xr:uid="{05CC93D2-2C57-F44E-A20E-19D5E9AD0E22}"/>
    <hyperlink ref="O75" r:id="rId71" xr:uid="{4D1C677A-0D0A-4D44-A77F-C0FA691D89A4}"/>
    <hyperlink ref="O77" r:id="rId72" xr:uid="{C6C68F57-4057-1F42-B7A9-00BDF66A1F50}"/>
    <hyperlink ref="O78" r:id="rId73" xr:uid="{F5B76EE7-DA79-DB48-8A8C-E2C3F73DCB1C}"/>
    <hyperlink ref="O79" r:id="rId74" xr:uid="{9045F401-CE56-874B-823F-D81306A01A81}"/>
    <hyperlink ref="O80" r:id="rId75" xr:uid="{815CE2F8-8082-A646-8FC8-798E0DF25CAC}"/>
    <hyperlink ref="O83" r:id="rId76" xr:uid="{64CB425C-A345-4D45-A3F2-9E3517EC289C}"/>
    <hyperlink ref="O85" r:id="rId77" xr:uid="{6A3B7812-14EB-414A-8ED0-A26140CB7BE3}"/>
    <hyperlink ref="O86" r:id="rId78" xr:uid="{31D1F896-CA9E-8D42-9225-5852F5BF6334}"/>
    <hyperlink ref="O88" r:id="rId79" xr:uid="{20A808EB-3F04-C140-81FF-C4C3D96FC731}"/>
    <hyperlink ref="O89" r:id="rId80" xr:uid="{6D7E9D8C-3403-874C-ABAC-B274B495C5BF}"/>
    <hyperlink ref="O91" r:id="rId81" xr:uid="{190F0A26-BDA0-0646-B152-7C508D03584D}"/>
    <hyperlink ref="O93" r:id="rId82" xr:uid="{6B024D30-2F26-6446-9066-24E102D7CFE6}"/>
    <hyperlink ref="P94" r:id="rId83" xr:uid="{713CEF5C-0C92-CC49-B7A0-A02E2599C5BB}"/>
    <hyperlink ref="P95" r:id="rId84" location="209-2023-god" xr:uid="{CD896E1E-D3FB-AA48-A85B-A71F20DF119D}"/>
    <hyperlink ref="P96" r:id="rId85" xr:uid="{1A4F6D1A-5844-F044-BA9F-B0615E8B3392}"/>
    <hyperlink ref="O56" r:id="rId86" xr:uid="{B485CEA5-13E4-194D-BF35-633155302548}"/>
    <hyperlink ref="P82" r:id="rId87" xr:uid="{A8278568-C819-364C-8E13-BD138BB50021}"/>
    <hyperlink ref="P64" r:id="rId88" display="http://budget.orb.ru/" xr:uid="{20BC7503-5D1E-3D49-8441-86A629A268FD}"/>
    <hyperlink ref="O33" r:id="rId89" xr:uid="{80B33AEA-CDFD-2941-9D45-5BFFA679C0D8}"/>
    <hyperlink ref="P40" r:id="rId90" display="https://budget.rk.ifinmon.ru/dokumenty/zakon-o-byudzhete" xr:uid="{F994A899-0450-6848-BC5F-41E9298A28DB}"/>
    <hyperlink ref="O42" r:id="rId91" xr:uid="{EA657591-647E-3144-B7E6-992F05BE4837}"/>
    <hyperlink ref="P47" r:id="rId92" display="http://portal.minfinrd.ru/Menu/Page/1128" xr:uid="{B49F2600-2361-9047-BF60-BF13A3656EC7}"/>
    <hyperlink ref="O48" r:id="rId93" xr:uid="{608695A9-B026-EC43-83BF-9621CE509B76}"/>
    <hyperlink ref="P60" r:id="rId94" xr:uid="{D62467A9-8049-1C49-967B-9E52CF8E7916}"/>
    <hyperlink ref="P61" r:id="rId95" xr:uid="{80A6004C-A6A7-0147-8E92-334C6E7FD7FF}"/>
    <hyperlink ref="O64" r:id="rId96" xr:uid="{CDF69259-F356-F14B-B314-EBD4CD4BBA03}"/>
    <hyperlink ref="O97" r:id="rId97" xr:uid="{9F2A33E7-D856-3C4E-B819-5F67858A0A4F}"/>
    <hyperlink ref="P8" r:id="rId98" xr:uid="{64B046F9-AC12-F340-A527-B550F2BC4822}"/>
  </hyperlinks>
  <pageMargins left="0.95866141699999996" right="0.95866141699999996" top="0.99803149599999996" bottom="1.2480314960000001" header="0.31496062992126" footer="0.31496062992126"/>
  <pageSetup paperSize="9" scale="70" fitToHeight="3" orientation="landscape"/>
  <headerFooter>
    <oddFooter>&amp;C&amp;A&amp;R&amp;P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9428BE51-B63D-5D49-BE46-CA54217AA97D}">
          <x14:formula1>
            <xm:f>$B$4:$B$5</xm:f>
          </x14:formula1>
          <xm:sqref>B47:B53 IT47:IT53 SP47:SP53 ACL47:ACL53 AMH47:AMH53 AWD47:AWD53 BFZ47:BFZ53 BPV47:BPV53 BZR47:BZR53 CJN47:CJN53 CTJ47:CTJ53 DDF47:DDF53 DNB47:DNB53 DWX47:DWX53 EGT47:EGT53 EQP47:EQP53 FAL47:FAL53 FKH47:FKH53 FUD47:FUD53 GDZ47:GDZ53 GNV47:GNV53 GXR47:GXR53 HHN47:HHN53 HRJ47:HRJ53 IBF47:IBF53 ILB47:ILB53 IUX47:IUX53 JET47:JET53 JOP47:JOP53 JYL47:JYL53 KIH47:KIH53 KSD47:KSD53 LBZ47:LBZ53 LLV47:LLV53 LVR47:LVR53 MFN47:MFN53 MPJ47:MPJ53 MZF47:MZF53 NJB47:NJB53 NSX47:NSX53 OCT47:OCT53 OMP47:OMP53 OWL47:OWL53 PGH47:PGH53 PQD47:PQD53 PZZ47:PZZ53 QJV47:QJV53 QTR47:QTR53 RDN47:RDN53 RNJ47:RNJ53 RXF47:RXF53 SHB47:SHB53 SQX47:SQX53 TAT47:TAT53 TKP47:TKP53 TUL47:TUL53 UEH47:UEH53 UOD47:UOD53 UXZ47:UXZ53 VHV47:VHV53 VRR47:VRR53 WBN47:WBN53 WLJ47:WLJ53 WVF47:WVF53 B65583:B65589 IT65583:IT65589 SP65583:SP65589 ACL65583:ACL65589 AMH65583:AMH65589 AWD65583:AWD65589 BFZ65583:BFZ65589 BPV65583:BPV65589 BZR65583:BZR65589 CJN65583:CJN65589 CTJ65583:CTJ65589 DDF65583:DDF65589 DNB65583:DNB65589 DWX65583:DWX65589 EGT65583:EGT65589 EQP65583:EQP65589 FAL65583:FAL65589 FKH65583:FKH65589 FUD65583:FUD65589 GDZ65583:GDZ65589 GNV65583:GNV65589 GXR65583:GXR65589 HHN65583:HHN65589 HRJ65583:HRJ65589 IBF65583:IBF65589 ILB65583:ILB65589 IUX65583:IUX65589 JET65583:JET65589 JOP65583:JOP65589 JYL65583:JYL65589 KIH65583:KIH65589 KSD65583:KSD65589 LBZ65583:LBZ65589 LLV65583:LLV65589 LVR65583:LVR65589 MFN65583:MFN65589 MPJ65583:MPJ65589 MZF65583:MZF65589 NJB65583:NJB65589 NSX65583:NSX65589 OCT65583:OCT65589 OMP65583:OMP65589 OWL65583:OWL65589 PGH65583:PGH65589 PQD65583:PQD65589 PZZ65583:PZZ65589 QJV65583:QJV65589 QTR65583:QTR65589 RDN65583:RDN65589 RNJ65583:RNJ65589 RXF65583:RXF65589 SHB65583:SHB65589 SQX65583:SQX65589 TAT65583:TAT65589 TKP65583:TKP65589 TUL65583:TUL65589 UEH65583:UEH65589 UOD65583:UOD65589 UXZ65583:UXZ65589 VHV65583:VHV65589 VRR65583:VRR65589 WBN65583:WBN65589 WLJ65583:WLJ65589 WVF65583:WVF65589 B131119:B131125 IT131119:IT131125 SP131119:SP131125 ACL131119:ACL131125 AMH131119:AMH131125 AWD131119:AWD131125 BFZ131119:BFZ131125 BPV131119:BPV131125 BZR131119:BZR131125 CJN131119:CJN131125 CTJ131119:CTJ131125 DDF131119:DDF131125 DNB131119:DNB131125 DWX131119:DWX131125 EGT131119:EGT131125 EQP131119:EQP131125 FAL131119:FAL131125 FKH131119:FKH131125 FUD131119:FUD131125 GDZ131119:GDZ131125 GNV131119:GNV131125 GXR131119:GXR131125 HHN131119:HHN131125 HRJ131119:HRJ131125 IBF131119:IBF131125 ILB131119:ILB131125 IUX131119:IUX131125 JET131119:JET131125 JOP131119:JOP131125 JYL131119:JYL131125 KIH131119:KIH131125 KSD131119:KSD131125 LBZ131119:LBZ131125 LLV131119:LLV131125 LVR131119:LVR131125 MFN131119:MFN131125 MPJ131119:MPJ131125 MZF131119:MZF131125 NJB131119:NJB131125 NSX131119:NSX131125 OCT131119:OCT131125 OMP131119:OMP131125 OWL131119:OWL131125 PGH131119:PGH131125 PQD131119:PQD131125 PZZ131119:PZZ131125 QJV131119:QJV131125 QTR131119:QTR131125 RDN131119:RDN131125 RNJ131119:RNJ131125 RXF131119:RXF131125 SHB131119:SHB131125 SQX131119:SQX131125 TAT131119:TAT131125 TKP131119:TKP131125 TUL131119:TUL131125 UEH131119:UEH131125 UOD131119:UOD131125 UXZ131119:UXZ131125 VHV131119:VHV131125 VRR131119:VRR131125 WBN131119:WBN131125 WLJ131119:WLJ131125 WVF131119:WVF131125 B196655:B196661 IT196655:IT196661 SP196655:SP196661 ACL196655:ACL196661 AMH196655:AMH196661 AWD196655:AWD196661 BFZ196655:BFZ196661 BPV196655:BPV196661 BZR196655:BZR196661 CJN196655:CJN196661 CTJ196655:CTJ196661 DDF196655:DDF196661 DNB196655:DNB196661 DWX196655:DWX196661 EGT196655:EGT196661 EQP196655:EQP196661 FAL196655:FAL196661 FKH196655:FKH196661 FUD196655:FUD196661 GDZ196655:GDZ196661 GNV196655:GNV196661 GXR196655:GXR196661 HHN196655:HHN196661 HRJ196655:HRJ196661 IBF196655:IBF196661 ILB196655:ILB196661 IUX196655:IUX196661 JET196655:JET196661 JOP196655:JOP196661 JYL196655:JYL196661 KIH196655:KIH196661 KSD196655:KSD196661 LBZ196655:LBZ196661 LLV196655:LLV196661 LVR196655:LVR196661 MFN196655:MFN196661 MPJ196655:MPJ196661 MZF196655:MZF196661 NJB196655:NJB196661 NSX196655:NSX196661 OCT196655:OCT196661 OMP196655:OMP196661 OWL196655:OWL196661 PGH196655:PGH196661 PQD196655:PQD196661 PZZ196655:PZZ196661 QJV196655:QJV196661 QTR196655:QTR196661 RDN196655:RDN196661 RNJ196655:RNJ196661 RXF196655:RXF196661 SHB196655:SHB196661 SQX196655:SQX196661 TAT196655:TAT196661 TKP196655:TKP196661 TUL196655:TUL196661 UEH196655:UEH196661 UOD196655:UOD196661 UXZ196655:UXZ196661 VHV196655:VHV196661 VRR196655:VRR196661 WBN196655:WBN196661 WLJ196655:WLJ196661 WVF196655:WVF196661 B262191:B262197 IT262191:IT262197 SP262191:SP262197 ACL262191:ACL262197 AMH262191:AMH262197 AWD262191:AWD262197 BFZ262191:BFZ262197 BPV262191:BPV262197 BZR262191:BZR262197 CJN262191:CJN262197 CTJ262191:CTJ262197 DDF262191:DDF262197 DNB262191:DNB262197 DWX262191:DWX262197 EGT262191:EGT262197 EQP262191:EQP262197 FAL262191:FAL262197 FKH262191:FKH262197 FUD262191:FUD262197 GDZ262191:GDZ262197 GNV262191:GNV262197 GXR262191:GXR262197 HHN262191:HHN262197 HRJ262191:HRJ262197 IBF262191:IBF262197 ILB262191:ILB262197 IUX262191:IUX262197 JET262191:JET262197 JOP262191:JOP262197 JYL262191:JYL262197 KIH262191:KIH262197 KSD262191:KSD262197 LBZ262191:LBZ262197 LLV262191:LLV262197 LVR262191:LVR262197 MFN262191:MFN262197 MPJ262191:MPJ262197 MZF262191:MZF262197 NJB262191:NJB262197 NSX262191:NSX262197 OCT262191:OCT262197 OMP262191:OMP262197 OWL262191:OWL262197 PGH262191:PGH262197 PQD262191:PQD262197 PZZ262191:PZZ262197 QJV262191:QJV262197 QTR262191:QTR262197 RDN262191:RDN262197 RNJ262191:RNJ262197 RXF262191:RXF262197 SHB262191:SHB262197 SQX262191:SQX262197 TAT262191:TAT262197 TKP262191:TKP262197 TUL262191:TUL262197 UEH262191:UEH262197 UOD262191:UOD262197 UXZ262191:UXZ262197 VHV262191:VHV262197 VRR262191:VRR262197 WBN262191:WBN262197 WLJ262191:WLJ262197 WVF262191:WVF262197 B327727:B327733 IT327727:IT327733 SP327727:SP327733 ACL327727:ACL327733 AMH327727:AMH327733 AWD327727:AWD327733 BFZ327727:BFZ327733 BPV327727:BPV327733 BZR327727:BZR327733 CJN327727:CJN327733 CTJ327727:CTJ327733 DDF327727:DDF327733 DNB327727:DNB327733 DWX327727:DWX327733 EGT327727:EGT327733 EQP327727:EQP327733 FAL327727:FAL327733 FKH327727:FKH327733 FUD327727:FUD327733 GDZ327727:GDZ327733 GNV327727:GNV327733 GXR327727:GXR327733 HHN327727:HHN327733 HRJ327727:HRJ327733 IBF327727:IBF327733 ILB327727:ILB327733 IUX327727:IUX327733 JET327727:JET327733 JOP327727:JOP327733 JYL327727:JYL327733 KIH327727:KIH327733 KSD327727:KSD327733 LBZ327727:LBZ327733 LLV327727:LLV327733 LVR327727:LVR327733 MFN327727:MFN327733 MPJ327727:MPJ327733 MZF327727:MZF327733 NJB327727:NJB327733 NSX327727:NSX327733 OCT327727:OCT327733 OMP327727:OMP327733 OWL327727:OWL327733 PGH327727:PGH327733 PQD327727:PQD327733 PZZ327727:PZZ327733 QJV327727:QJV327733 QTR327727:QTR327733 RDN327727:RDN327733 RNJ327727:RNJ327733 RXF327727:RXF327733 SHB327727:SHB327733 SQX327727:SQX327733 TAT327727:TAT327733 TKP327727:TKP327733 TUL327727:TUL327733 UEH327727:UEH327733 UOD327727:UOD327733 UXZ327727:UXZ327733 VHV327727:VHV327733 VRR327727:VRR327733 WBN327727:WBN327733 WLJ327727:WLJ327733 WVF327727:WVF327733 B393263:B393269 IT393263:IT393269 SP393263:SP393269 ACL393263:ACL393269 AMH393263:AMH393269 AWD393263:AWD393269 BFZ393263:BFZ393269 BPV393263:BPV393269 BZR393263:BZR393269 CJN393263:CJN393269 CTJ393263:CTJ393269 DDF393263:DDF393269 DNB393263:DNB393269 DWX393263:DWX393269 EGT393263:EGT393269 EQP393263:EQP393269 FAL393263:FAL393269 FKH393263:FKH393269 FUD393263:FUD393269 GDZ393263:GDZ393269 GNV393263:GNV393269 GXR393263:GXR393269 HHN393263:HHN393269 HRJ393263:HRJ393269 IBF393263:IBF393269 ILB393263:ILB393269 IUX393263:IUX393269 JET393263:JET393269 JOP393263:JOP393269 JYL393263:JYL393269 KIH393263:KIH393269 KSD393263:KSD393269 LBZ393263:LBZ393269 LLV393263:LLV393269 LVR393263:LVR393269 MFN393263:MFN393269 MPJ393263:MPJ393269 MZF393263:MZF393269 NJB393263:NJB393269 NSX393263:NSX393269 OCT393263:OCT393269 OMP393263:OMP393269 OWL393263:OWL393269 PGH393263:PGH393269 PQD393263:PQD393269 PZZ393263:PZZ393269 QJV393263:QJV393269 QTR393263:QTR393269 RDN393263:RDN393269 RNJ393263:RNJ393269 RXF393263:RXF393269 SHB393263:SHB393269 SQX393263:SQX393269 TAT393263:TAT393269 TKP393263:TKP393269 TUL393263:TUL393269 UEH393263:UEH393269 UOD393263:UOD393269 UXZ393263:UXZ393269 VHV393263:VHV393269 VRR393263:VRR393269 WBN393263:WBN393269 WLJ393263:WLJ393269 WVF393263:WVF393269 B458799:B458805 IT458799:IT458805 SP458799:SP458805 ACL458799:ACL458805 AMH458799:AMH458805 AWD458799:AWD458805 BFZ458799:BFZ458805 BPV458799:BPV458805 BZR458799:BZR458805 CJN458799:CJN458805 CTJ458799:CTJ458805 DDF458799:DDF458805 DNB458799:DNB458805 DWX458799:DWX458805 EGT458799:EGT458805 EQP458799:EQP458805 FAL458799:FAL458805 FKH458799:FKH458805 FUD458799:FUD458805 GDZ458799:GDZ458805 GNV458799:GNV458805 GXR458799:GXR458805 HHN458799:HHN458805 HRJ458799:HRJ458805 IBF458799:IBF458805 ILB458799:ILB458805 IUX458799:IUX458805 JET458799:JET458805 JOP458799:JOP458805 JYL458799:JYL458805 KIH458799:KIH458805 KSD458799:KSD458805 LBZ458799:LBZ458805 LLV458799:LLV458805 LVR458799:LVR458805 MFN458799:MFN458805 MPJ458799:MPJ458805 MZF458799:MZF458805 NJB458799:NJB458805 NSX458799:NSX458805 OCT458799:OCT458805 OMP458799:OMP458805 OWL458799:OWL458805 PGH458799:PGH458805 PQD458799:PQD458805 PZZ458799:PZZ458805 QJV458799:QJV458805 QTR458799:QTR458805 RDN458799:RDN458805 RNJ458799:RNJ458805 RXF458799:RXF458805 SHB458799:SHB458805 SQX458799:SQX458805 TAT458799:TAT458805 TKP458799:TKP458805 TUL458799:TUL458805 UEH458799:UEH458805 UOD458799:UOD458805 UXZ458799:UXZ458805 VHV458799:VHV458805 VRR458799:VRR458805 WBN458799:WBN458805 WLJ458799:WLJ458805 WVF458799:WVF458805 B524335:B524341 IT524335:IT524341 SP524335:SP524341 ACL524335:ACL524341 AMH524335:AMH524341 AWD524335:AWD524341 BFZ524335:BFZ524341 BPV524335:BPV524341 BZR524335:BZR524341 CJN524335:CJN524341 CTJ524335:CTJ524341 DDF524335:DDF524341 DNB524335:DNB524341 DWX524335:DWX524341 EGT524335:EGT524341 EQP524335:EQP524341 FAL524335:FAL524341 FKH524335:FKH524341 FUD524335:FUD524341 GDZ524335:GDZ524341 GNV524335:GNV524341 GXR524335:GXR524341 HHN524335:HHN524341 HRJ524335:HRJ524341 IBF524335:IBF524341 ILB524335:ILB524341 IUX524335:IUX524341 JET524335:JET524341 JOP524335:JOP524341 JYL524335:JYL524341 KIH524335:KIH524341 KSD524335:KSD524341 LBZ524335:LBZ524341 LLV524335:LLV524341 LVR524335:LVR524341 MFN524335:MFN524341 MPJ524335:MPJ524341 MZF524335:MZF524341 NJB524335:NJB524341 NSX524335:NSX524341 OCT524335:OCT524341 OMP524335:OMP524341 OWL524335:OWL524341 PGH524335:PGH524341 PQD524335:PQD524341 PZZ524335:PZZ524341 QJV524335:QJV524341 QTR524335:QTR524341 RDN524335:RDN524341 RNJ524335:RNJ524341 RXF524335:RXF524341 SHB524335:SHB524341 SQX524335:SQX524341 TAT524335:TAT524341 TKP524335:TKP524341 TUL524335:TUL524341 UEH524335:UEH524341 UOD524335:UOD524341 UXZ524335:UXZ524341 VHV524335:VHV524341 VRR524335:VRR524341 WBN524335:WBN524341 WLJ524335:WLJ524341 WVF524335:WVF524341 B589871:B589877 IT589871:IT589877 SP589871:SP589877 ACL589871:ACL589877 AMH589871:AMH589877 AWD589871:AWD589877 BFZ589871:BFZ589877 BPV589871:BPV589877 BZR589871:BZR589877 CJN589871:CJN589877 CTJ589871:CTJ589877 DDF589871:DDF589877 DNB589871:DNB589877 DWX589871:DWX589877 EGT589871:EGT589877 EQP589871:EQP589877 FAL589871:FAL589877 FKH589871:FKH589877 FUD589871:FUD589877 GDZ589871:GDZ589877 GNV589871:GNV589877 GXR589871:GXR589877 HHN589871:HHN589877 HRJ589871:HRJ589877 IBF589871:IBF589877 ILB589871:ILB589877 IUX589871:IUX589877 JET589871:JET589877 JOP589871:JOP589877 JYL589871:JYL589877 KIH589871:KIH589877 KSD589871:KSD589877 LBZ589871:LBZ589877 LLV589871:LLV589877 LVR589871:LVR589877 MFN589871:MFN589877 MPJ589871:MPJ589877 MZF589871:MZF589877 NJB589871:NJB589877 NSX589871:NSX589877 OCT589871:OCT589877 OMP589871:OMP589877 OWL589871:OWL589877 PGH589871:PGH589877 PQD589871:PQD589877 PZZ589871:PZZ589877 QJV589871:QJV589877 QTR589871:QTR589877 RDN589871:RDN589877 RNJ589871:RNJ589877 RXF589871:RXF589877 SHB589871:SHB589877 SQX589871:SQX589877 TAT589871:TAT589877 TKP589871:TKP589877 TUL589871:TUL589877 UEH589871:UEH589877 UOD589871:UOD589877 UXZ589871:UXZ589877 VHV589871:VHV589877 VRR589871:VRR589877 WBN589871:WBN589877 WLJ589871:WLJ589877 WVF589871:WVF589877 B655407:B655413 IT655407:IT655413 SP655407:SP655413 ACL655407:ACL655413 AMH655407:AMH655413 AWD655407:AWD655413 BFZ655407:BFZ655413 BPV655407:BPV655413 BZR655407:BZR655413 CJN655407:CJN655413 CTJ655407:CTJ655413 DDF655407:DDF655413 DNB655407:DNB655413 DWX655407:DWX655413 EGT655407:EGT655413 EQP655407:EQP655413 FAL655407:FAL655413 FKH655407:FKH655413 FUD655407:FUD655413 GDZ655407:GDZ655413 GNV655407:GNV655413 GXR655407:GXR655413 HHN655407:HHN655413 HRJ655407:HRJ655413 IBF655407:IBF655413 ILB655407:ILB655413 IUX655407:IUX655413 JET655407:JET655413 JOP655407:JOP655413 JYL655407:JYL655413 KIH655407:KIH655413 KSD655407:KSD655413 LBZ655407:LBZ655413 LLV655407:LLV655413 LVR655407:LVR655413 MFN655407:MFN655413 MPJ655407:MPJ655413 MZF655407:MZF655413 NJB655407:NJB655413 NSX655407:NSX655413 OCT655407:OCT655413 OMP655407:OMP655413 OWL655407:OWL655413 PGH655407:PGH655413 PQD655407:PQD655413 PZZ655407:PZZ655413 QJV655407:QJV655413 QTR655407:QTR655413 RDN655407:RDN655413 RNJ655407:RNJ655413 RXF655407:RXF655413 SHB655407:SHB655413 SQX655407:SQX655413 TAT655407:TAT655413 TKP655407:TKP655413 TUL655407:TUL655413 UEH655407:UEH655413 UOD655407:UOD655413 UXZ655407:UXZ655413 VHV655407:VHV655413 VRR655407:VRR655413 WBN655407:WBN655413 WLJ655407:WLJ655413 WVF655407:WVF655413 B720943:B720949 IT720943:IT720949 SP720943:SP720949 ACL720943:ACL720949 AMH720943:AMH720949 AWD720943:AWD720949 BFZ720943:BFZ720949 BPV720943:BPV720949 BZR720943:BZR720949 CJN720943:CJN720949 CTJ720943:CTJ720949 DDF720943:DDF720949 DNB720943:DNB720949 DWX720943:DWX720949 EGT720943:EGT720949 EQP720943:EQP720949 FAL720943:FAL720949 FKH720943:FKH720949 FUD720943:FUD720949 GDZ720943:GDZ720949 GNV720943:GNV720949 GXR720943:GXR720949 HHN720943:HHN720949 HRJ720943:HRJ720949 IBF720943:IBF720949 ILB720943:ILB720949 IUX720943:IUX720949 JET720943:JET720949 JOP720943:JOP720949 JYL720943:JYL720949 KIH720943:KIH720949 KSD720943:KSD720949 LBZ720943:LBZ720949 LLV720943:LLV720949 LVR720943:LVR720949 MFN720943:MFN720949 MPJ720943:MPJ720949 MZF720943:MZF720949 NJB720943:NJB720949 NSX720943:NSX720949 OCT720943:OCT720949 OMP720943:OMP720949 OWL720943:OWL720949 PGH720943:PGH720949 PQD720943:PQD720949 PZZ720943:PZZ720949 QJV720943:QJV720949 QTR720943:QTR720949 RDN720943:RDN720949 RNJ720943:RNJ720949 RXF720943:RXF720949 SHB720943:SHB720949 SQX720943:SQX720949 TAT720943:TAT720949 TKP720943:TKP720949 TUL720943:TUL720949 UEH720943:UEH720949 UOD720943:UOD720949 UXZ720943:UXZ720949 VHV720943:VHV720949 VRR720943:VRR720949 WBN720943:WBN720949 WLJ720943:WLJ720949 WVF720943:WVF720949 B786479:B786485 IT786479:IT786485 SP786479:SP786485 ACL786479:ACL786485 AMH786479:AMH786485 AWD786479:AWD786485 BFZ786479:BFZ786485 BPV786479:BPV786485 BZR786479:BZR786485 CJN786479:CJN786485 CTJ786479:CTJ786485 DDF786479:DDF786485 DNB786479:DNB786485 DWX786479:DWX786485 EGT786479:EGT786485 EQP786479:EQP786485 FAL786479:FAL786485 FKH786479:FKH786485 FUD786479:FUD786485 GDZ786479:GDZ786485 GNV786479:GNV786485 GXR786479:GXR786485 HHN786479:HHN786485 HRJ786479:HRJ786485 IBF786479:IBF786485 ILB786479:ILB786485 IUX786479:IUX786485 JET786479:JET786485 JOP786479:JOP786485 JYL786479:JYL786485 KIH786479:KIH786485 KSD786479:KSD786485 LBZ786479:LBZ786485 LLV786479:LLV786485 LVR786479:LVR786485 MFN786479:MFN786485 MPJ786479:MPJ786485 MZF786479:MZF786485 NJB786479:NJB786485 NSX786479:NSX786485 OCT786479:OCT786485 OMP786479:OMP786485 OWL786479:OWL786485 PGH786479:PGH786485 PQD786479:PQD786485 PZZ786479:PZZ786485 QJV786479:QJV786485 QTR786479:QTR786485 RDN786479:RDN786485 RNJ786479:RNJ786485 RXF786479:RXF786485 SHB786479:SHB786485 SQX786479:SQX786485 TAT786479:TAT786485 TKP786479:TKP786485 TUL786479:TUL786485 UEH786479:UEH786485 UOD786479:UOD786485 UXZ786479:UXZ786485 VHV786479:VHV786485 VRR786479:VRR786485 WBN786479:WBN786485 WLJ786479:WLJ786485 WVF786479:WVF786485 B852015:B852021 IT852015:IT852021 SP852015:SP852021 ACL852015:ACL852021 AMH852015:AMH852021 AWD852015:AWD852021 BFZ852015:BFZ852021 BPV852015:BPV852021 BZR852015:BZR852021 CJN852015:CJN852021 CTJ852015:CTJ852021 DDF852015:DDF852021 DNB852015:DNB852021 DWX852015:DWX852021 EGT852015:EGT852021 EQP852015:EQP852021 FAL852015:FAL852021 FKH852015:FKH852021 FUD852015:FUD852021 GDZ852015:GDZ852021 GNV852015:GNV852021 GXR852015:GXR852021 HHN852015:HHN852021 HRJ852015:HRJ852021 IBF852015:IBF852021 ILB852015:ILB852021 IUX852015:IUX852021 JET852015:JET852021 JOP852015:JOP852021 JYL852015:JYL852021 KIH852015:KIH852021 KSD852015:KSD852021 LBZ852015:LBZ852021 LLV852015:LLV852021 LVR852015:LVR852021 MFN852015:MFN852021 MPJ852015:MPJ852021 MZF852015:MZF852021 NJB852015:NJB852021 NSX852015:NSX852021 OCT852015:OCT852021 OMP852015:OMP852021 OWL852015:OWL852021 PGH852015:PGH852021 PQD852015:PQD852021 PZZ852015:PZZ852021 QJV852015:QJV852021 QTR852015:QTR852021 RDN852015:RDN852021 RNJ852015:RNJ852021 RXF852015:RXF852021 SHB852015:SHB852021 SQX852015:SQX852021 TAT852015:TAT852021 TKP852015:TKP852021 TUL852015:TUL852021 UEH852015:UEH852021 UOD852015:UOD852021 UXZ852015:UXZ852021 VHV852015:VHV852021 VRR852015:VRR852021 WBN852015:WBN852021 WLJ852015:WLJ852021 WVF852015:WVF852021 B917551:B917557 IT917551:IT917557 SP917551:SP917557 ACL917551:ACL917557 AMH917551:AMH917557 AWD917551:AWD917557 BFZ917551:BFZ917557 BPV917551:BPV917557 BZR917551:BZR917557 CJN917551:CJN917557 CTJ917551:CTJ917557 DDF917551:DDF917557 DNB917551:DNB917557 DWX917551:DWX917557 EGT917551:EGT917557 EQP917551:EQP917557 FAL917551:FAL917557 FKH917551:FKH917557 FUD917551:FUD917557 GDZ917551:GDZ917557 GNV917551:GNV917557 GXR917551:GXR917557 HHN917551:HHN917557 HRJ917551:HRJ917557 IBF917551:IBF917557 ILB917551:ILB917557 IUX917551:IUX917557 JET917551:JET917557 JOP917551:JOP917557 JYL917551:JYL917557 KIH917551:KIH917557 KSD917551:KSD917557 LBZ917551:LBZ917557 LLV917551:LLV917557 LVR917551:LVR917557 MFN917551:MFN917557 MPJ917551:MPJ917557 MZF917551:MZF917557 NJB917551:NJB917557 NSX917551:NSX917557 OCT917551:OCT917557 OMP917551:OMP917557 OWL917551:OWL917557 PGH917551:PGH917557 PQD917551:PQD917557 PZZ917551:PZZ917557 QJV917551:QJV917557 QTR917551:QTR917557 RDN917551:RDN917557 RNJ917551:RNJ917557 RXF917551:RXF917557 SHB917551:SHB917557 SQX917551:SQX917557 TAT917551:TAT917557 TKP917551:TKP917557 TUL917551:TUL917557 UEH917551:UEH917557 UOD917551:UOD917557 UXZ917551:UXZ917557 VHV917551:VHV917557 VRR917551:VRR917557 WBN917551:WBN917557 WLJ917551:WLJ917557 WVF917551:WVF917557 B983087:B983093 IT983087:IT983093 SP983087:SP983093 ACL983087:ACL983093 AMH983087:AMH983093 AWD983087:AWD983093 BFZ983087:BFZ983093 BPV983087:BPV983093 BZR983087:BZR983093 CJN983087:CJN983093 CTJ983087:CTJ983093 DDF983087:DDF983093 DNB983087:DNB983093 DWX983087:DWX983093 EGT983087:EGT983093 EQP983087:EQP983093 FAL983087:FAL983093 FKH983087:FKH983093 FUD983087:FUD983093 GDZ983087:GDZ983093 GNV983087:GNV983093 GXR983087:GXR983093 HHN983087:HHN983093 HRJ983087:HRJ983093 IBF983087:IBF983093 ILB983087:ILB983093 IUX983087:IUX983093 JET983087:JET983093 JOP983087:JOP983093 JYL983087:JYL983093 KIH983087:KIH983093 KSD983087:KSD983093 LBZ983087:LBZ983093 LLV983087:LLV983093 LVR983087:LVR983093 MFN983087:MFN983093 MPJ983087:MPJ983093 MZF983087:MZF983093 NJB983087:NJB983093 NSX983087:NSX983093 OCT983087:OCT983093 OMP983087:OMP983093 OWL983087:OWL983093 PGH983087:PGH983093 PQD983087:PQD983093 PZZ983087:PZZ983093 QJV983087:QJV983093 QTR983087:QTR983093 RDN983087:RDN983093 RNJ983087:RNJ983093 RXF983087:RXF983093 SHB983087:SHB983093 SQX983087:SQX983093 TAT983087:TAT983093 TKP983087:TKP983093 TUL983087:TUL983093 UEH983087:UEH983093 UOD983087:UOD983093 UXZ983087:UXZ983093 VHV983087:VHV983093 VRR983087:VRR983093 WBN983087:WBN983093 WLJ983087:WLJ983093 WVF983087:WVF983093 B26:B36 IT26:IT36 SP26:SP36 ACL26:ACL36 AMH26:AMH36 AWD26:AWD36 BFZ26:BFZ36 BPV26:BPV36 BZR26:BZR36 CJN26:CJN36 CTJ26:CTJ36 DDF26:DDF36 DNB26:DNB36 DWX26:DWX36 EGT26:EGT36 EQP26:EQP36 FAL26:FAL36 FKH26:FKH36 FUD26:FUD36 GDZ26:GDZ36 GNV26:GNV36 GXR26:GXR36 HHN26:HHN36 HRJ26:HRJ36 IBF26:IBF36 ILB26:ILB36 IUX26:IUX36 JET26:JET36 JOP26:JOP36 JYL26:JYL36 KIH26:KIH36 KSD26:KSD36 LBZ26:LBZ36 LLV26:LLV36 LVR26:LVR36 MFN26:MFN36 MPJ26:MPJ36 MZF26:MZF36 NJB26:NJB36 NSX26:NSX36 OCT26:OCT36 OMP26:OMP36 OWL26:OWL36 PGH26:PGH36 PQD26:PQD36 PZZ26:PZZ36 QJV26:QJV36 QTR26:QTR36 RDN26:RDN36 RNJ26:RNJ36 RXF26:RXF36 SHB26:SHB36 SQX26:SQX36 TAT26:TAT36 TKP26:TKP36 TUL26:TUL36 UEH26:UEH36 UOD26:UOD36 UXZ26:UXZ36 VHV26:VHV36 VRR26:VRR36 WBN26:WBN36 WLJ26:WLJ36 WVF26:WVF36 B65562:B65572 IT65562:IT65572 SP65562:SP65572 ACL65562:ACL65572 AMH65562:AMH65572 AWD65562:AWD65572 BFZ65562:BFZ65572 BPV65562:BPV65572 BZR65562:BZR65572 CJN65562:CJN65572 CTJ65562:CTJ65572 DDF65562:DDF65572 DNB65562:DNB65572 DWX65562:DWX65572 EGT65562:EGT65572 EQP65562:EQP65572 FAL65562:FAL65572 FKH65562:FKH65572 FUD65562:FUD65572 GDZ65562:GDZ65572 GNV65562:GNV65572 GXR65562:GXR65572 HHN65562:HHN65572 HRJ65562:HRJ65572 IBF65562:IBF65572 ILB65562:ILB65572 IUX65562:IUX65572 JET65562:JET65572 JOP65562:JOP65572 JYL65562:JYL65572 KIH65562:KIH65572 KSD65562:KSD65572 LBZ65562:LBZ65572 LLV65562:LLV65572 LVR65562:LVR65572 MFN65562:MFN65572 MPJ65562:MPJ65572 MZF65562:MZF65572 NJB65562:NJB65572 NSX65562:NSX65572 OCT65562:OCT65572 OMP65562:OMP65572 OWL65562:OWL65572 PGH65562:PGH65572 PQD65562:PQD65572 PZZ65562:PZZ65572 QJV65562:QJV65572 QTR65562:QTR65572 RDN65562:RDN65572 RNJ65562:RNJ65572 RXF65562:RXF65572 SHB65562:SHB65572 SQX65562:SQX65572 TAT65562:TAT65572 TKP65562:TKP65572 TUL65562:TUL65572 UEH65562:UEH65572 UOD65562:UOD65572 UXZ65562:UXZ65572 VHV65562:VHV65572 VRR65562:VRR65572 WBN65562:WBN65572 WLJ65562:WLJ65572 WVF65562:WVF65572 B131098:B131108 IT131098:IT131108 SP131098:SP131108 ACL131098:ACL131108 AMH131098:AMH131108 AWD131098:AWD131108 BFZ131098:BFZ131108 BPV131098:BPV131108 BZR131098:BZR131108 CJN131098:CJN131108 CTJ131098:CTJ131108 DDF131098:DDF131108 DNB131098:DNB131108 DWX131098:DWX131108 EGT131098:EGT131108 EQP131098:EQP131108 FAL131098:FAL131108 FKH131098:FKH131108 FUD131098:FUD131108 GDZ131098:GDZ131108 GNV131098:GNV131108 GXR131098:GXR131108 HHN131098:HHN131108 HRJ131098:HRJ131108 IBF131098:IBF131108 ILB131098:ILB131108 IUX131098:IUX131108 JET131098:JET131108 JOP131098:JOP131108 JYL131098:JYL131108 KIH131098:KIH131108 KSD131098:KSD131108 LBZ131098:LBZ131108 LLV131098:LLV131108 LVR131098:LVR131108 MFN131098:MFN131108 MPJ131098:MPJ131108 MZF131098:MZF131108 NJB131098:NJB131108 NSX131098:NSX131108 OCT131098:OCT131108 OMP131098:OMP131108 OWL131098:OWL131108 PGH131098:PGH131108 PQD131098:PQD131108 PZZ131098:PZZ131108 QJV131098:QJV131108 QTR131098:QTR131108 RDN131098:RDN131108 RNJ131098:RNJ131108 RXF131098:RXF131108 SHB131098:SHB131108 SQX131098:SQX131108 TAT131098:TAT131108 TKP131098:TKP131108 TUL131098:TUL131108 UEH131098:UEH131108 UOD131098:UOD131108 UXZ131098:UXZ131108 VHV131098:VHV131108 VRR131098:VRR131108 WBN131098:WBN131108 WLJ131098:WLJ131108 WVF131098:WVF131108 B196634:B196644 IT196634:IT196644 SP196634:SP196644 ACL196634:ACL196644 AMH196634:AMH196644 AWD196634:AWD196644 BFZ196634:BFZ196644 BPV196634:BPV196644 BZR196634:BZR196644 CJN196634:CJN196644 CTJ196634:CTJ196644 DDF196634:DDF196644 DNB196634:DNB196644 DWX196634:DWX196644 EGT196634:EGT196644 EQP196634:EQP196644 FAL196634:FAL196644 FKH196634:FKH196644 FUD196634:FUD196644 GDZ196634:GDZ196644 GNV196634:GNV196644 GXR196634:GXR196644 HHN196634:HHN196644 HRJ196634:HRJ196644 IBF196634:IBF196644 ILB196634:ILB196644 IUX196634:IUX196644 JET196634:JET196644 JOP196634:JOP196644 JYL196634:JYL196644 KIH196634:KIH196644 KSD196634:KSD196644 LBZ196634:LBZ196644 LLV196634:LLV196644 LVR196634:LVR196644 MFN196634:MFN196644 MPJ196634:MPJ196644 MZF196634:MZF196644 NJB196634:NJB196644 NSX196634:NSX196644 OCT196634:OCT196644 OMP196634:OMP196644 OWL196634:OWL196644 PGH196634:PGH196644 PQD196634:PQD196644 PZZ196634:PZZ196644 QJV196634:QJV196644 QTR196634:QTR196644 RDN196634:RDN196644 RNJ196634:RNJ196644 RXF196634:RXF196644 SHB196634:SHB196644 SQX196634:SQX196644 TAT196634:TAT196644 TKP196634:TKP196644 TUL196634:TUL196644 UEH196634:UEH196644 UOD196634:UOD196644 UXZ196634:UXZ196644 VHV196634:VHV196644 VRR196634:VRR196644 WBN196634:WBN196644 WLJ196634:WLJ196644 WVF196634:WVF196644 B262170:B262180 IT262170:IT262180 SP262170:SP262180 ACL262170:ACL262180 AMH262170:AMH262180 AWD262170:AWD262180 BFZ262170:BFZ262180 BPV262170:BPV262180 BZR262170:BZR262180 CJN262170:CJN262180 CTJ262170:CTJ262180 DDF262170:DDF262180 DNB262170:DNB262180 DWX262170:DWX262180 EGT262170:EGT262180 EQP262170:EQP262180 FAL262170:FAL262180 FKH262170:FKH262180 FUD262170:FUD262180 GDZ262170:GDZ262180 GNV262170:GNV262180 GXR262170:GXR262180 HHN262170:HHN262180 HRJ262170:HRJ262180 IBF262170:IBF262180 ILB262170:ILB262180 IUX262170:IUX262180 JET262170:JET262180 JOP262170:JOP262180 JYL262170:JYL262180 KIH262170:KIH262180 KSD262170:KSD262180 LBZ262170:LBZ262180 LLV262170:LLV262180 LVR262170:LVR262180 MFN262170:MFN262180 MPJ262170:MPJ262180 MZF262170:MZF262180 NJB262170:NJB262180 NSX262170:NSX262180 OCT262170:OCT262180 OMP262170:OMP262180 OWL262170:OWL262180 PGH262170:PGH262180 PQD262170:PQD262180 PZZ262170:PZZ262180 QJV262170:QJV262180 QTR262170:QTR262180 RDN262170:RDN262180 RNJ262170:RNJ262180 RXF262170:RXF262180 SHB262170:SHB262180 SQX262170:SQX262180 TAT262170:TAT262180 TKP262170:TKP262180 TUL262170:TUL262180 UEH262170:UEH262180 UOD262170:UOD262180 UXZ262170:UXZ262180 VHV262170:VHV262180 VRR262170:VRR262180 WBN262170:WBN262180 WLJ262170:WLJ262180 WVF262170:WVF262180 B327706:B327716 IT327706:IT327716 SP327706:SP327716 ACL327706:ACL327716 AMH327706:AMH327716 AWD327706:AWD327716 BFZ327706:BFZ327716 BPV327706:BPV327716 BZR327706:BZR327716 CJN327706:CJN327716 CTJ327706:CTJ327716 DDF327706:DDF327716 DNB327706:DNB327716 DWX327706:DWX327716 EGT327706:EGT327716 EQP327706:EQP327716 FAL327706:FAL327716 FKH327706:FKH327716 FUD327706:FUD327716 GDZ327706:GDZ327716 GNV327706:GNV327716 GXR327706:GXR327716 HHN327706:HHN327716 HRJ327706:HRJ327716 IBF327706:IBF327716 ILB327706:ILB327716 IUX327706:IUX327716 JET327706:JET327716 JOP327706:JOP327716 JYL327706:JYL327716 KIH327706:KIH327716 KSD327706:KSD327716 LBZ327706:LBZ327716 LLV327706:LLV327716 LVR327706:LVR327716 MFN327706:MFN327716 MPJ327706:MPJ327716 MZF327706:MZF327716 NJB327706:NJB327716 NSX327706:NSX327716 OCT327706:OCT327716 OMP327706:OMP327716 OWL327706:OWL327716 PGH327706:PGH327716 PQD327706:PQD327716 PZZ327706:PZZ327716 QJV327706:QJV327716 QTR327706:QTR327716 RDN327706:RDN327716 RNJ327706:RNJ327716 RXF327706:RXF327716 SHB327706:SHB327716 SQX327706:SQX327716 TAT327706:TAT327716 TKP327706:TKP327716 TUL327706:TUL327716 UEH327706:UEH327716 UOD327706:UOD327716 UXZ327706:UXZ327716 VHV327706:VHV327716 VRR327706:VRR327716 WBN327706:WBN327716 WLJ327706:WLJ327716 WVF327706:WVF327716 B393242:B393252 IT393242:IT393252 SP393242:SP393252 ACL393242:ACL393252 AMH393242:AMH393252 AWD393242:AWD393252 BFZ393242:BFZ393252 BPV393242:BPV393252 BZR393242:BZR393252 CJN393242:CJN393252 CTJ393242:CTJ393252 DDF393242:DDF393252 DNB393242:DNB393252 DWX393242:DWX393252 EGT393242:EGT393252 EQP393242:EQP393252 FAL393242:FAL393252 FKH393242:FKH393252 FUD393242:FUD393252 GDZ393242:GDZ393252 GNV393242:GNV393252 GXR393242:GXR393252 HHN393242:HHN393252 HRJ393242:HRJ393252 IBF393242:IBF393252 ILB393242:ILB393252 IUX393242:IUX393252 JET393242:JET393252 JOP393242:JOP393252 JYL393242:JYL393252 KIH393242:KIH393252 KSD393242:KSD393252 LBZ393242:LBZ393252 LLV393242:LLV393252 LVR393242:LVR393252 MFN393242:MFN393252 MPJ393242:MPJ393252 MZF393242:MZF393252 NJB393242:NJB393252 NSX393242:NSX393252 OCT393242:OCT393252 OMP393242:OMP393252 OWL393242:OWL393252 PGH393242:PGH393252 PQD393242:PQD393252 PZZ393242:PZZ393252 QJV393242:QJV393252 QTR393242:QTR393252 RDN393242:RDN393252 RNJ393242:RNJ393252 RXF393242:RXF393252 SHB393242:SHB393252 SQX393242:SQX393252 TAT393242:TAT393252 TKP393242:TKP393252 TUL393242:TUL393252 UEH393242:UEH393252 UOD393242:UOD393252 UXZ393242:UXZ393252 VHV393242:VHV393252 VRR393242:VRR393252 WBN393242:WBN393252 WLJ393242:WLJ393252 WVF393242:WVF393252 B458778:B458788 IT458778:IT458788 SP458778:SP458788 ACL458778:ACL458788 AMH458778:AMH458788 AWD458778:AWD458788 BFZ458778:BFZ458788 BPV458778:BPV458788 BZR458778:BZR458788 CJN458778:CJN458788 CTJ458778:CTJ458788 DDF458778:DDF458788 DNB458778:DNB458788 DWX458778:DWX458788 EGT458778:EGT458788 EQP458778:EQP458788 FAL458778:FAL458788 FKH458778:FKH458788 FUD458778:FUD458788 GDZ458778:GDZ458788 GNV458778:GNV458788 GXR458778:GXR458788 HHN458778:HHN458788 HRJ458778:HRJ458788 IBF458778:IBF458788 ILB458778:ILB458788 IUX458778:IUX458788 JET458778:JET458788 JOP458778:JOP458788 JYL458778:JYL458788 KIH458778:KIH458788 KSD458778:KSD458788 LBZ458778:LBZ458788 LLV458778:LLV458788 LVR458778:LVR458788 MFN458778:MFN458788 MPJ458778:MPJ458788 MZF458778:MZF458788 NJB458778:NJB458788 NSX458778:NSX458788 OCT458778:OCT458788 OMP458778:OMP458788 OWL458778:OWL458788 PGH458778:PGH458788 PQD458778:PQD458788 PZZ458778:PZZ458788 QJV458778:QJV458788 QTR458778:QTR458788 RDN458778:RDN458788 RNJ458778:RNJ458788 RXF458778:RXF458788 SHB458778:SHB458788 SQX458778:SQX458788 TAT458778:TAT458788 TKP458778:TKP458788 TUL458778:TUL458788 UEH458778:UEH458788 UOD458778:UOD458788 UXZ458778:UXZ458788 VHV458778:VHV458788 VRR458778:VRR458788 WBN458778:WBN458788 WLJ458778:WLJ458788 WVF458778:WVF458788 B524314:B524324 IT524314:IT524324 SP524314:SP524324 ACL524314:ACL524324 AMH524314:AMH524324 AWD524314:AWD524324 BFZ524314:BFZ524324 BPV524314:BPV524324 BZR524314:BZR524324 CJN524314:CJN524324 CTJ524314:CTJ524324 DDF524314:DDF524324 DNB524314:DNB524324 DWX524314:DWX524324 EGT524314:EGT524324 EQP524314:EQP524324 FAL524314:FAL524324 FKH524314:FKH524324 FUD524314:FUD524324 GDZ524314:GDZ524324 GNV524314:GNV524324 GXR524314:GXR524324 HHN524314:HHN524324 HRJ524314:HRJ524324 IBF524314:IBF524324 ILB524314:ILB524324 IUX524314:IUX524324 JET524314:JET524324 JOP524314:JOP524324 JYL524314:JYL524324 KIH524314:KIH524324 KSD524314:KSD524324 LBZ524314:LBZ524324 LLV524314:LLV524324 LVR524314:LVR524324 MFN524314:MFN524324 MPJ524314:MPJ524324 MZF524314:MZF524324 NJB524314:NJB524324 NSX524314:NSX524324 OCT524314:OCT524324 OMP524314:OMP524324 OWL524314:OWL524324 PGH524314:PGH524324 PQD524314:PQD524324 PZZ524314:PZZ524324 QJV524314:QJV524324 QTR524314:QTR524324 RDN524314:RDN524324 RNJ524314:RNJ524324 RXF524314:RXF524324 SHB524314:SHB524324 SQX524314:SQX524324 TAT524314:TAT524324 TKP524314:TKP524324 TUL524314:TUL524324 UEH524314:UEH524324 UOD524314:UOD524324 UXZ524314:UXZ524324 VHV524314:VHV524324 VRR524314:VRR524324 WBN524314:WBN524324 WLJ524314:WLJ524324 WVF524314:WVF524324 B589850:B589860 IT589850:IT589860 SP589850:SP589860 ACL589850:ACL589860 AMH589850:AMH589860 AWD589850:AWD589860 BFZ589850:BFZ589860 BPV589850:BPV589860 BZR589850:BZR589860 CJN589850:CJN589860 CTJ589850:CTJ589860 DDF589850:DDF589860 DNB589850:DNB589860 DWX589850:DWX589860 EGT589850:EGT589860 EQP589850:EQP589860 FAL589850:FAL589860 FKH589850:FKH589860 FUD589850:FUD589860 GDZ589850:GDZ589860 GNV589850:GNV589860 GXR589850:GXR589860 HHN589850:HHN589860 HRJ589850:HRJ589860 IBF589850:IBF589860 ILB589850:ILB589860 IUX589850:IUX589860 JET589850:JET589860 JOP589850:JOP589860 JYL589850:JYL589860 KIH589850:KIH589860 KSD589850:KSD589860 LBZ589850:LBZ589860 LLV589850:LLV589860 LVR589850:LVR589860 MFN589850:MFN589860 MPJ589850:MPJ589860 MZF589850:MZF589860 NJB589850:NJB589860 NSX589850:NSX589860 OCT589850:OCT589860 OMP589850:OMP589860 OWL589850:OWL589860 PGH589850:PGH589860 PQD589850:PQD589860 PZZ589850:PZZ589860 QJV589850:QJV589860 QTR589850:QTR589860 RDN589850:RDN589860 RNJ589850:RNJ589860 RXF589850:RXF589860 SHB589850:SHB589860 SQX589850:SQX589860 TAT589850:TAT589860 TKP589850:TKP589860 TUL589850:TUL589860 UEH589850:UEH589860 UOD589850:UOD589860 UXZ589850:UXZ589860 VHV589850:VHV589860 VRR589850:VRR589860 WBN589850:WBN589860 WLJ589850:WLJ589860 WVF589850:WVF589860 B655386:B655396 IT655386:IT655396 SP655386:SP655396 ACL655386:ACL655396 AMH655386:AMH655396 AWD655386:AWD655396 BFZ655386:BFZ655396 BPV655386:BPV655396 BZR655386:BZR655396 CJN655386:CJN655396 CTJ655386:CTJ655396 DDF655386:DDF655396 DNB655386:DNB655396 DWX655386:DWX655396 EGT655386:EGT655396 EQP655386:EQP655396 FAL655386:FAL655396 FKH655386:FKH655396 FUD655386:FUD655396 GDZ655386:GDZ655396 GNV655386:GNV655396 GXR655386:GXR655396 HHN655386:HHN655396 HRJ655386:HRJ655396 IBF655386:IBF655396 ILB655386:ILB655396 IUX655386:IUX655396 JET655386:JET655396 JOP655386:JOP655396 JYL655386:JYL655396 KIH655386:KIH655396 KSD655386:KSD655396 LBZ655386:LBZ655396 LLV655386:LLV655396 LVR655386:LVR655396 MFN655386:MFN655396 MPJ655386:MPJ655396 MZF655386:MZF655396 NJB655386:NJB655396 NSX655386:NSX655396 OCT655386:OCT655396 OMP655386:OMP655396 OWL655386:OWL655396 PGH655386:PGH655396 PQD655386:PQD655396 PZZ655386:PZZ655396 QJV655386:QJV655396 QTR655386:QTR655396 RDN655386:RDN655396 RNJ655386:RNJ655396 RXF655386:RXF655396 SHB655386:SHB655396 SQX655386:SQX655396 TAT655386:TAT655396 TKP655386:TKP655396 TUL655386:TUL655396 UEH655386:UEH655396 UOD655386:UOD655396 UXZ655386:UXZ655396 VHV655386:VHV655396 VRR655386:VRR655396 WBN655386:WBN655396 WLJ655386:WLJ655396 WVF655386:WVF655396 B720922:B720932 IT720922:IT720932 SP720922:SP720932 ACL720922:ACL720932 AMH720922:AMH720932 AWD720922:AWD720932 BFZ720922:BFZ720932 BPV720922:BPV720932 BZR720922:BZR720932 CJN720922:CJN720932 CTJ720922:CTJ720932 DDF720922:DDF720932 DNB720922:DNB720932 DWX720922:DWX720932 EGT720922:EGT720932 EQP720922:EQP720932 FAL720922:FAL720932 FKH720922:FKH720932 FUD720922:FUD720932 GDZ720922:GDZ720932 GNV720922:GNV720932 GXR720922:GXR720932 HHN720922:HHN720932 HRJ720922:HRJ720932 IBF720922:IBF720932 ILB720922:ILB720932 IUX720922:IUX720932 JET720922:JET720932 JOP720922:JOP720932 JYL720922:JYL720932 KIH720922:KIH720932 KSD720922:KSD720932 LBZ720922:LBZ720932 LLV720922:LLV720932 LVR720922:LVR720932 MFN720922:MFN720932 MPJ720922:MPJ720932 MZF720922:MZF720932 NJB720922:NJB720932 NSX720922:NSX720932 OCT720922:OCT720932 OMP720922:OMP720932 OWL720922:OWL720932 PGH720922:PGH720932 PQD720922:PQD720932 PZZ720922:PZZ720932 QJV720922:QJV720932 QTR720922:QTR720932 RDN720922:RDN720932 RNJ720922:RNJ720932 RXF720922:RXF720932 SHB720922:SHB720932 SQX720922:SQX720932 TAT720922:TAT720932 TKP720922:TKP720932 TUL720922:TUL720932 UEH720922:UEH720932 UOD720922:UOD720932 UXZ720922:UXZ720932 VHV720922:VHV720932 VRR720922:VRR720932 WBN720922:WBN720932 WLJ720922:WLJ720932 WVF720922:WVF720932 B786458:B786468 IT786458:IT786468 SP786458:SP786468 ACL786458:ACL786468 AMH786458:AMH786468 AWD786458:AWD786468 BFZ786458:BFZ786468 BPV786458:BPV786468 BZR786458:BZR786468 CJN786458:CJN786468 CTJ786458:CTJ786468 DDF786458:DDF786468 DNB786458:DNB786468 DWX786458:DWX786468 EGT786458:EGT786468 EQP786458:EQP786468 FAL786458:FAL786468 FKH786458:FKH786468 FUD786458:FUD786468 GDZ786458:GDZ786468 GNV786458:GNV786468 GXR786458:GXR786468 HHN786458:HHN786468 HRJ786458:HRJ786468 IBF786458:IBF786468 ILB786458:ILB786468 IUX786458:IUX786468 JET786458:JET786468 JOP786458:JOP786468 JYL786458:JYL786468 KIH786458:KIH786468 KSD786458:KSD786468 LBZ786458:LBZ786468 LLV786458:LLV786468 LVR786458:LVR786468 MFN786458:MFN786468 MPJ786458:MPJ786468 MZF786458:MZF786468 NJB786458:NJB786468 NSX786458:NSX786468 OCT786458:OCT786468 OMP786458:OMP786468 OWL786458:OWL786468 PGH786458:PGH786468 PQD786458:PQD786468 PZZ786458:PZZ786468 QJV786458:QJV786468 QTR786458:QTR786468 RDN786458:RDN786468 RNJ786458:RNJ786468 RXF786458:RXF786468 SHB786458:SHB786468 SQX786458:SQX786468 TAT786458:TAT786468 TKP786458:TKP786468 TUL786458:TUL786468 UEH786458:UEH786468 UOD786458:UOD786468 UXZ786458:UXZ786468 VHV786458:VHV786468 VRR786458:VRR786468 WBN786458:WBN786468 WLJ786458:WLJ786468 WVF786458:WVF786468 B851994:B852004 IT851994:IT852004 SP851994:SP852004 ACL851994:ACL852004 AMH851994:AMH852004 AWD851994:AWD852004 BFZ851994:BFZ852004 BPV851994:BPV852004 BZR851994:BZR852004 CJN851994:CJN852004 CTJ851994:CTJ852004 DDF851994:DDF852004 DNB851994:DNB852004 DWX851994:DWX852004 EGT851994:EGT852004 EQP851994:EQP852004 FAL851994:FAL852004 FKH851994:FKH852004 FUD851994:FUD852004 GDZ851994:GDZ852004 GNV851994:GNV852004 GXR851994:GXR852004 HHN851994:HHN852004 HRJ851994:HRJ852004 IBF851994:IBF852004 ILB851994:ILB852004 IUX851994:IUX852004 JET851994:JET852004 JOP851994:JOP852004 JYL851994:JYL852004 KIH851994:KIH852004 KSD851994:KSD852004 LBZ851994:LBZ852004 LLV851994:LLV852004 LVR851994:LVR852004 MFN851994:MFN852004 MPJ851994:MPJ852004 MZF851994:MZF852004 NJB851994:NJB852004 NSX851994:NSX852004 OCT851994:OCT852004 OMP851994:OMP852004 OWL851994:OWL852004 PGH851994:PGH852004 PQD851994:PQD852004 PZZ851994:PZZ852004 QJV851994:QJV852004 QTR851994:QTR852004 RDN851994:RDN852004 RNJ851994:RNJ852004 RXF851994:RXF852004 SHB851994:SHB852004 SQX851994:SQX852004 TAT851994:TAT852004 TKP851994:TKP852004 TUL851994:TUL852004 UEH851994:UEH852004 UOD851994:UOD852004 UXZ851994:UXZ852004 VHV851994:VHV852004 VRR851994:VRR852004 WBN851994:WBN852004 WLJ851994:WLJ852004 WVF851994:WVF852004 B917530:B917540 IT917530:IT917540 SP917530:SP917540 ACL917530:ACL917540 AMH917530:AMH917540 AWD917530:AWD917540 BFZ917530:BFZ917540 BPV917530:BPV917540 BZR917530:BZR917540 CJN917530:CJN917540 CTJ917530:CTJ917540 DDF917530:DDF917540 DNB917530:DNB917540 DWX917530:DWX917540 EGT917530:EGT917540 EQP917530:EQP917540 FAL917530:FAL917540 FKH917530:FKH917540 FUD917530:FUD917540 GDZ917530:GDZ917540 GNV917530:GNV917540 GXR917530:GXR917540 HHN917530:HHN917540 HRJ917530:HRJ917540 IBF917530:IBF917540 ILB917530:ILB917540 IUX917530:IUX917540 JET917530:JET917540 JOP917530:JOP917540 JYL917530:JYL917540 KIH917530:KIH917540 KSD917530:KSD917540 LBZ917530:LBZ917540 LLV917530:LLV917540 LVR917530:LVR917540 MFN917530:MFN917540 MPJ917530:MPJ917540 MZF917530:MZF917540 NJB917530:NJB917540 NSX917530:NSX917540 OCT917530:OCT917540 OMP917530:OMP917540 OWL917530:OWL917540 PGH917530:PGH917540 PQD917530:PQD917540 PZZ917530:PZZ917540 QJV917530:QJV917540 QTR917530:QTR917540 RDN917530:RDN917540 RNJ917530:RNJ917540 RXF917530:RXF917540 SHB917530:SHB917540 SQX917530:SQX917540 TAT917530:TAT917540 TKP917530:TKP917540 TUL917530:TUL917540 UEH917530:UEH917540 UOD917530:UOD917540 UXZ917530:UXZ917540 VHV917530:VHV917540 VRR917530:VRR917540 WBN917530:WBN917540 WLJ917530:WLJ917540 WVF917530:WVF917540 B983066:B983076 IT983066:IT983076 SP983066:SP983076 ACL983066:ACL983076 AMH983066:AMH983076 AWD983066:AWD983076 BFZ983066:BFZ983076 BPV983066:BPV983076 BZR983066:BZR983076 CJN983066:CJN983076 CTJ983066:CTJ983076 DDF983066:DDF983076 DNB983066:DNB983076 DWX983066:DWX983076 EGT983066:EGT983076 EQP983066:EQP983076 FAL983066:FAL983076 FKH983066:FKH983076 FUD983066:FUD983076 GDZ983066:GDZ983076 GNV983066:GNV983076 GXR983066:GXR983076 HHN983066:HHN983076 HRJ983066:HRJ983076 IBF983066:IBF983076 ILB983066:ILB983076 IUX983066:IUX983076 JET983066:JET983076 JOP983066:JOP983076 JYL983066:JYL983076 KIH983066:KIH983076 KSD983066:KSD983076 LBZ983066:LBZ983076 LLV983066:LLV983076 LVR983066:LVR983076 MFN983066:MFN983076 MPJ983066:MPJ983076 MZF983066:MZF983076 NJB983066:NJB983076 NSX983066:NSX983076 OCT983066:OCT983076 OMP983066:OMP983076 OWL983066:OWL983076 PGH983066:PGH983076 PQD983066:PQD983076 PZZ983066:PZZ983076 QJV983066:QJV983076 QTR983066:QTR983076 RDN983066:RDN983076 RNJ983066:RNJ983076 RXF983066:RXF983076 SHB983066:SHB983076 SQX983066:SQX983076 TAT983066:TAT983076 TKP983066:TKP983076 TUL983066:TUL983076 UEH983066:UEH983076 UOD983066:UOD983076 UXZ983066:UXZ983076 VHV983066:VHV983076 VRR983066:VRR983076 WBN983066:WBN983076 WLJ983066:WLJ983076 WVF983066:WVF983076 B6:B24 IT6:IT24 SP6:SP24 ACL6:ACL24 AMH6:AMH24 AWD6:AWD24 BFZ6:BFZ24 BPV6:BPV24 BZR6:BZR24 CJN6:CJN24 CTJ6:CTJ24 DDF6:DDF24 DNB6:DNB24 DWX6:DWX24 EGT6:EGT24 EQP6:EQP24 FAL6:FAL24 FKH6:FKH24 FUD6:FUD24 GDZ6:GDZ24 GNV6:GNV24 GXR6:GXR24 HHN6:HHN24 HRJ6:HRJ24 IBF6:IBF24 ILB6:ILB24 IUX6:IUX24 JET6:JET24 JOP6:JOP24 JYL6:JYL24 KIH6:KIH24 KSD6:KSD24 LBZ6:LBZ24 LLV6:LLV24 LVR6:LVR24 MFN6:MFN24 MPJ6:MPJ24 MZF6:MZF24 NJB6:NJB24 NSX6:NSX24 OCT6:OCT24 OMP6:OMP24 OWL6:OWL24 PGH6:PGH24 PQD6:PQD24 PZZ6:PZZ24 QJV6:QJV24 QTR6:QTR24 RDN6:RDN24 RNJ6:RNJ24 RXF6:RXF24 SHB6:SHB24 SQX6:SQX24 TAT6:TAT24 TKP6:TKP24 TUL6:TUL24 UEH6:UEH24 UOD6:UOD24 UXZ6:UXZ24 VHV6:VHV24 VRR6:VRR24 WBN6:WBN24 WLJ6:WLJ24 WVF6:WVF24 B65542:B65560 IT65542:IT65560 SP65542:SP65560 ACL65542:ACL65560 AMH65542:AMH65560 AWD65542:AWD65560 BFZ65542:BFZ65560 BPV65542:BPV65560 BZR65542:BZR65560 CJN65542:CJN65560 CTJ65542:CTJ65560 DDF65542:DDF65560 DNB65542:DNB65560 DWX65542:DWX65560 EGT65542:EGT65560 EQP65542:EQP65560 FAL65542:FAL65560 FKH65542:FKH65560 FUD65542:FUD65560 GDZ65542:GDZ65560 GNV65542:GNV65560 GXR65542:GXR65560 HHN65542:HHN65560 HRJ65542:HRJ65560 IBF65542:IBF65560 ILB65542:ILB65560 IUX65542:IUX65560 JET65542:JET65560 JOP65542:JOP65560 JYL65542:JYL65560 KIH65542:KIH65560 KSD65542:KSD65560 LBZ65542:LBZ65560 LLV65542:LLV65560 LVR65542:LVR65560 MFN65542:MFN65560 MPJ65542:MPJ65560 MZF65542:MZF65560 NJB65542:NJB65560 NSX65542:NSX65560 OCT65542:OCT65560 OMP65542:OMP65560 OWL65542:OWL65560 PGH65542:PGH65560 PQD65542:PQD65560 PZZ65542:PZZ65560 QJV65542:QJV65560 QTR65542:QTR65560 RDN65542:RDN65560 RNJ65542:RNJ65560 RXF65542:RXF65560 SHB65542:SHB65560 SQX65542:SQX65560 TAT65542:TAT65560 TKP65542:TKP65560 TUL65542:TUL65560 UEH65542:UEH65560 UOD65542:UOD65560 UXZ65542:UXZ65560 VHV65542:VHV65560 VRR65542:VRR65560 WBN65542:WBN65560 WLJ65542:WLJ65560 WVF65542:WVF65560 B131078:B131096 IT131078:IT131096 SP131078:SP131096 ACL131078:ACL131096 AMH131078:AMH131096 AWD131078:AWD131096 BFZ131078:BFZ131096 BPV131078:BPV131096 BZR131078:BZR131096 CJN131078:CJN131096 CTJ131078:CTJ131096 DDF131078:DDF131096 DNB131078:DNB131096 DWX131078:DWX131096 EGT131078:EGT131096 EQP131078:EQP131096 FAL131078:FAL131096 FKH131078:FKH131096 FUD131078:FUD131096 GDZ131078:GDZ131096 GNV131078:GNV131096 GXR131078:GXR131096 HHN131078:HHN131096 HRJ131078:HRJ131096 IBF131078:IBF131096 ILB131078:ILB131096 IUX131078:IUX131096 JET131078:JET131096 JOP131078:JOP131096 JYL131078:JYL131096 KIH131078:KIH131096 KSD131078:KSD131096 LBZ131078:LBZ131096 LLV131078:LLV131096 LVR131078:LVR131096 MFN131078:MFN131096 MPJ131078:MPJ131096 MZF131078:MZF131096 NJB131078:NJB131096 NSX131078:NSX131096 OCT131078:OCT131096 OMP131078:OMP131096 OWL131078:OWL131096 PGH131078:PGH131096 PQD131078:PQD131096 PZZ131078:PZZ131096 QJV131078:QJV131096 QTR131078:QTR131096 RDN131078:RDN131096 RNJ131078:RNJ131096 RXF131078:RXF131096 SHB131078:SHB131096 SQX131078:SQX131096 TAT131078:TAT131096 TKP131078:TKP131096 TUL131078:TUL131096 UEH131078:UEH131096 UOD131078:UOD131096 UXZ131078:UXZ131096 VHV131078:VHV131096 VRR131078:VRR131096 WBN131078:WBN131096 WLJ131078:WLJ131096 WVF131078:WVF131096 B196614:B196632 IT196614:IT196632 SP196614:SP196632 ACL196614:ACL196632 AMH196614:AMH196632 AWD196614:AWD196632 BFZ196614:BFZ196632 BPV196614:BPV196632 BZR196614:BZR196632 CJN196614:CJN196632 CTJ196614:CTJ196632 DDF196614:DDF196632 DNB196614:DNB196632 DWX196614:DWX196632 EGT196614:EGT196632 EQP196614:EQP196632 FAL196614:FAL196632 FKH196614:FKH196632 FUD196614:FUD196632 GDZ196614:GDZ196632 GNV196614:GNV196632 GXR196614:GXR196632 HHN196614:HHN196632 HRJ196614:HRJ196632 IBF196614:IBF196632 ILB196614:ILB196632 IUX196614:IUX196632 JET196614:JET196632 JOP196614:JOP196632 JYL196614:JYL196632 KIH196614:KIH196632 KSD196614:KSD196632 LBZ196614:LBZ196632 LLV196614:LLV196632 LVR196614:LVR196632 MFN196614:MFN196632 MPJ196614:MPJ196632 MZF196614:MZF196632 NJB196614:NJB196632 NSX196614:NSX196632 OCT196614:OCT196632 OMP196614:OMP196632 OWL196614:OWL196632 PGH196614:PGH196632 PQD196614:PQD196632 PZZ196614:PZZ196632 QJV196614:QJV196632 QTR196614:QTR196632 RDN196614:RDN196632 RNJ196614:RNJ196632 RXF196614:RXF196632 SHB196614:SHB196632 SQX196614:SQX196632 TAT196614:TAT196632 TKP196614:TKP196632 TUL196614:TUL196632 UEH196614:UEH196632 UOD196614:UOD196632 UXZ196614:UXZ196632 VHV196614:VHV196632 VRR196614:VRR196632 WBN196614:WBN196632 WLJ196614:WLJ196632 WVF196614:WVF196632 B262150:B262168 IT262150:IT262168 SP262150:SP262168 ACL262150:ACL262168 AMH262150:AMH262168 AWD262150:AWD262168 BFZ262150:BFZ262168 BPV262150:BPV262168 BZR262150:BZR262168 CJN262150:CJN262168 CTJ262150:CTJ262168 DDF262150:DDF262168 DNB262150:DNB262168 DWX262150:DWX262168 EGT262150:EGT262168 EQP262150:EQP262168 FAL262150:FAL262168 FKH262150:FKH262168 FUD262150:FUD262168 GDZ262150:GDZ262168 GNV262150:GNV262168 GXR262150:GXR262168 HHN262150:HHN262168 HRJ262150:HRJ262168 IBF262150:IBF262168 ILB262150:ILB262168 IUX262150:IUX262168 JET262150:JET262168 JOP262150:JOP262168 JYL262150:JYL262168 KIH262150:KIH262168 KSD262150:KSD262168 LBZ262150:LBZ262168 LLV262150:LLV262168 LVR262150:LVR262168 MFN262150:MFN262168 MPJ262150:MPJ262168 MZF262150:MZF262168 NJB262150:NJB262168 NSX262150:NSX262168 OCT262150:OCT262168 OMP262150:OMP262168 OWL262150:OWL262168 PGH262150:PGH262168 PQD262150:PQD262168 PZZ262150:PZZ262168 QJV262150:QJV262168 QTR262150:QTR262168 RDN262150:RDN262168 RNJ262150:RNJ262168 RXF262150:RXF262168 SHB262150:SHB262168 SQX262150:SQX262168 TAT262150:TAT262168 TKP262150:TKP262168 TUL262150:TUL262168 UEH262150:UEH262168 UOD262150:UOD262168 UXZ262150:UXZ262168 VHV262150:VHV262168 VRR262150:VRR262168 WBN262150:WBN262168 WLJ262150:WLJ262168 WVF262150:WVF262168 B327686:B327704 IT327686:IT327704 SP327686:SP327704 ACL327686:ACL327704 AMH327686:AMH327704 AWD327686:AWD327704 BFZ327686:BFZ327704 BPV327686:BPV327704 BZR327686:BZR327704 CJN327686:CJN327704 CTJ327686:CTJ327704 DDF327686:DDF327704 DNB327686:DNB327704 DWX327686:DWX327704 EGT327686:EGT327704 EQP327686:EQP327704 FAL327686:FAL327704 FKH327686:FKH327704 FUD327686:FUD327704 GDZ327686:GDZ327704 GNV327686:GNV327704 GXR327686:GXR327704 HHN327686:HHN327704 HRJ327686:HRJ327704 IBF327686:IBF327704 ILB327686:ILB327704 IUX327686:IUX327704 JET327686:JET327704 JOP327686:JOP327704 JYL327686:JYL327704 KIH327686:KIH327704 KSD327686:KSD327704 LBZ327686:LBZ327704 LLV327686:LLV327704 LVR327686:LVR327704 MFN327686:MFN327704 MPJ327686:MPJ327704 MZF327686:MZF327704 NJB327686:NJB327704 NSX327686:NSX327704 OCT327686:OCT327704 OMP327686:OMP327704 OWL327686:OWL327704 PGH327686:PGH327704 PQD327686:PQD327704 PZZ327686:PZZ327704 QJV327686:QJV327704 QTR327686:QTR327704 RDN327686:RDN327704 RNJ327686:RNJ327704 RXF327686:RXF327704 SHB327686:SHB327704 SQX327686:SQX327704 TAT327686:TAT327704 TKP327686:TKP327704 TUL327686:TUL327704 UEH327686:UEH327704 UOD327686:UOD327704 UXZ327686:UXZ327704 VHV327686:VHV327704 VRR327686:VRR327704 WBN327686:WBN327704 WLJ327686:WLJ327704 WVF327686:WVF327704 B393222:B393240 IT393222:IT393240 SP393222:SP393240 ACL393222:ACL393240 AMH393222:AMH393240 AWD393222:AWD393240 BFZ393222:BFZ393240 BPV393222:BPV393240 BZR393222:BZR393240 CJN393222:CJN393240 CTJ393222:CTJ393240 DDF393222:DDF393240 DNB393222:DNB393240 DWX393222:DWX393240 EGT393222:EGT393240 EQP393222:EQP393240 FAL393222:FAL393240 FKH393222:FKH393240 FUD393222:FUD393240 GDZ393222:GDZ393240 GNV393222:GNV393240 GXR393222:GXR393240 HHN393222:HHN393240 HRJ393222:HRJ393240 IBF393222:IBF393240 ILB393222:ILB393240 IUX393222:IUX393240 JET393222:JET393240 JOP393222:JOP393240 JYL393222:JYL393240 KIH393222:KIH393240 KSD393222:KSD393240 LBZ393222:LBZ393240 LLV393222:LLV393240 LVR393222:LVR393240 MFN393222:MFN393240 MPJ393222:MPJ393240 MZF393222:MZF393240 NJB393222:NJB393240 NSX393222:NSX393240 OCT393222:OCT393240 OMP393222:OMP393240 OWL393222:OWL393240 PGH393222:PGH393240 PQD393222:PQD393240 PZZ393222:PZZ393240 QJV393222:QJV393240 QTR393222:QTR393240 RDN393222:RDN393240 RNJ393222:RNJ393240 RXF393222:RXF393240 SHB393222:SHB393240 SQX393222:SQX393240 TAT393222:TAT393240 TKP393222:TKP393240 TUL393222:TUL393240 UEH393222:UEH393240 UOD393222:UOD393240 UXZ393222:UXZ393240 VHV393222:VHV393240 VRR393222:VRR393240 WBN393222:WBN393240 WLJ393222:WLJ393240 WVF393222:WVF393240 B458758:B458776 IT458758:IT458776 SP458758:SP458776 ACL458758:ACL458776 AMH458758:AMH458776 AWD458758:AWD458776 BFZ458758:BFZ458776 BPV458758:BPV458776 BZR458758:BZR458776 CJN458758:CJN458776 CTJ458758:CTJ458776 DDF458758:DDF458776 DNB458758:DNB458776 DWX458758:DWX458776 EGT458758:EGT458776 EQP458758:EQP458776 FAL458758:FAL458776 FKH458758:FKH458776 FUD458758:FUD458776 GDZ458758:GDZ458776 GNV458758:GNV458776 GXR458758:GXR458776 HHN458758:HHN458776 HRJ458758:HRJ458776 IBF458758:IBF458776 ILB458758:ILB458776 IUX458758:IUX458776 JET458758:JET458776 JOP458758:JOP458776 JYL458758:JYL458776 KIH458758:KIH458776 KSD458758:KSD458776 LBZ458758:LBZ458776 LLV458758:LLV458776 LVR458758:LVR458776 MFN458758:MFN458776 MPJ458758:MPJ458776 MZF458758:MZF458776 NJB458758:NJB458776 NSX458758:NSX458776 OCT458758:OCT458776 OMP458758:OMP458776 OWL458758:OWL458776 PGH458758:PGH458776 PQD458758:PQD458776 PZZ458758:PZZ458776 QJV458758:QJV458776 QTR458758:QTR458776 RDN458758:RDN458776 RNJ458758:RNJ458776 RXF458758:RXF458776 SHB458758:SHB458776 SQX458758:SQX458776 TAT458758:TAT458776 TKP458758:TKP458776 TUL458758:TUL458776 UEH458758:UEH458776 UOD458758:UOD458776 UXZ458758:UXZ458776 VHV458758:VHV458776 VRR458758:VRR458776 WBN458758:WBN458776 WLJ458758:WLJ458776 WVF458758:WVF458776 B524294:B524312 IT524294:IT524312 SP524294:SP524312 ACL524294:ACL524312 AMH524294:AMH524312 AWD524294:AWD524312 BFZ524294:BFZ524312 BPV524294:BPV524312 BZR524294:BZR524312 CJN524294:CJN524312 CTJ524294:CTJ524312 DDF524294:DDF524312 DNB524294:DNB524312 DWX524294:DWX524312 EGT524294:EGT524312 EQP524294:EQP524312 FAL524294:FAL524312 FKH524294:FKH524312 FUD524294:FUD524312 GDZ524294:GDZ524312 GNV524294:GNV524312 GXR524294:GXR524312 HHN524294:HHN524312 HRJ524294:HRJ524312 IBF524294:IBF524312 ILB524294:ILB524312 IUX524294:IUX524312 JET524294:JET524312 JOP524294:JOP524312 JYL524294:JYL524312 KIH524294:KIH524312 KSD524294:KSD524312 LBZ524294:LBZ524312 LLV524294:LLV524312 LVR524294:LVR524312 MFN524294:MFN524312 MPJ524294:MPJ524312 MZF524294:MZF524312 NJB524294:NJB524312 NSX524294:NSX524312 OCT524294:OCT524312 OMP524294:OMP524312 OWL524294:OWL524312 PGH524294:PGH524312 PQD524294:PQD524312 PZZ524294:PZZ524312 QJV524294:QJV524312 QTR524294:QTR524312 RDN524294:RDN524312 RNJ524294:RNJ524312 RXF524294:RXF524312 SHB524294:SHB524312 SQX524294:SQX524312 TAT524294:TAT524312 TKP524294:TKP524312 TUL524294:TUL524312 UEH524294:UEH524312 UOD524294:UOD524312 UXZ524294:UXZ524312 VHV524294:VHV524312 VRR524294:VRR524312 WBN524294:WBN524312 WLJ524294:WLJ524312 WVF524294:WVF524312 B589830:B589848 IT589830:IT589848 SP589830:SP589848 ACL589830:ACL589848 AMH589830:AMH589848 AWD589830:AWD589848 BFZ589830:BFZ589848 BPV589830:BPV589848 BZR589830:BZR589848 CJN589830:CJN589848 CTJ589830:CTJ589848 DDF589830:DDF589848 DNB589830:DNB589848 DWX589830:DWX589848 EGT589830:EGT589848 EQP589830:EQP589848 FAL589830:FAL589848 FKH589830:FKH589848 FUD589830:FUD589848 GDZ589830:GDZ589848 GNV589830:GNV589848 GXR589830:GXR589848 HHN589830:HHN589848 HRJ589830:HRJ589848 IBF589830:IBF589848 ILB589830:ILB589848 IUX589830:IUX589848 JET589830:JET589848 JOP589830:JOP589848 JYL589830:JYL589848 KIH589830:KIH589848 KSD589830:KSD589848 LBZ589830:LBZ589848 LLV589830:LLV589848 LVR589830:LVR589848 MFN589830:MFN589848 MPJ589830:MPJ589848 MZF589830:MZF589848 NJB589830:NJB589848 NSX589830:NSX589848 OCT589830:OCT589848 OMP589830:OMP589848 OWL589830:OWL589848 PGH589830:PGH589848 PQD589830:PQD589848 PZZ589830:PZZ589848 QJV589830:QJV589848 QTR589830:QTR589848 RDN589830:RDN589848 RNJ589830:RNJ589848 RXF589830:RXF589848 SHB589830:SHB589848 SQX589830:SQX589848 TAT589830:TAT589848 TKP589830:TKP589848 TUL589830:TUL589848 UEH589830:UEH589848 UOD589830:UOD589848 UXZ589830:UXZ589848 VHV589830:VHV589848 VRR589830:VRR589848 WBN589830:WBN589848 WLJ589830:WLJ589848 WVF589830:WVF589848 B655366:B655384 IT655366:IT655384 SP655366:SP655384 ACL655366:ACL655384 AMH655366:AMH655384 AWD655366:AWD655384 BFZ655366:BFZ655384 BPV655366:BPV655384 BZR655366:BZR655384 CJN655366:CJN655384 CTJ655366:CTJ655384 DDF655366:DDF655384 DNB655366:DNB655384 DWX655366:DWX655384 EGT655366:EGT655384 EQP655366:EQP655384 FAL655366:FAL655384 FKH655366:FKH655384 FUD655366:FUD655384 GDZ655366:GDZ655384 GNV655366:GNV655384 GXR655366:GXR655384 HHN655366:HHN655384 HRJ655366:HRJ655384 IBF655366:IBF655384 ILB655366:ILB655384 IUX655366:IUX655384 JET655366:JET655384 JOP655366:JOP655384 JYL655366:JYL655384 KIH655366:KIH655384 KSD655366:KSD655384 LBZ655366:LBZ655384 LLV655366:LLV655384 LVR655366:LVR655384 MFN655366:MFN655384 MPJ655366:MPJ655384 MZF655366:MZF655384 NJB655366:NJB655384 NSX655366:NSX655384 OCT655366:OCT655384 OMP655366:OMP655384 OWL655366:OWL655384 PGH655366:PGH655384 PQD655366:PQD655384 PZZ655366:PZZ655384 QJV655366:QJV655384 QTR655366:QTR655384 RDN655366:RDN655384 RNJ655366:RNJ655384 RXF655366:RXF655384 SHB655366:SHB655384 SQX655366:SQX655384 TAT655366:TAT655384 TKP655366:TKP655384 TUL655366:TUL655384 UEH655366:UEH655384 UOD655366:UOD655384 UXZ655366:UXZ655384 VHV655366:VHV655384 VRR655366:VRR655384 WBN655366:WBN655384 WLJ655366:WLJ655384 WVF655366:WVF655384 B720902:B720920 IT720902:IT720920 SP720902:SP720920 ACL720902:ACL720920 AMH720902:AMH720920 AWD720902:AWD720920 BFZ720902:BFZ720920 BPV720902:BPV720920 BZR720902:BZR720920 CJN720902:CJN720920 CTJ720902:CTJ720920 DDF720902:DDF720920 DNB720902:DNB720920 DWX720902:DWX720920 EGT720902:EGT720920 EQP720902:EQP720920 FAL720902:FAL720920 FKH720902:FKH720920 FUD720902:FUD720920 GDZ720902:GDZ720920 GNV720902:GNV720920 GXR720902:GXR720920 HHN720902:HHN720920 HRJ720902:HRJ720920 IBF720902:IBF720920 ILB720902:ILB720920 IUX720902:IUX720920 JET720902:JET720920 JOP720902:JOP720920 JYL720902:JYL720920 KIH720902:KIH720920 KSD720902:KSD720920 LBZ720902:LBZ720920 LLV720902:LLV720920 LVR720902:LVR720920 MFN720902:MFN720920 MPJ720902:MPJ720920 MZF720902:MZF720920 NJB720902:NJB720920 NSX720902:NSX720920 OCT720902:OCT720920 OMP720902:OMP720920 OWL720902:OWL720920 PGH720902:PGH720920 PQD720902:PQD720920 PZZ720902:PZZ720920 QJV720902:QJV720920 QTR720902:QTR720920 RDN720902:RDN720920 RNJ720902:RNJ720920 RXF720902:RXF720920 SHB720902:SHB720920 SQX720902:SQX720920 TAT720902:TAT720920 TKP720902:TKP720920 TUL720902:TUL720920 UEH720902:UEH720920 UOD720902:UOD720920 UXZ720902:UXZ720920 VHV720902:VHV720920 VRR720902:VRR720920 WBN720902:WBN720920 WLJ720902:WLJ720920 WVF720902:WVF720920 B786438:B786456 IT786438:IT786456 SP786438:SP786456 ACL786438:ACL786456 AMH786438:AMH786456 AWD786438:AWD786456 BFZ786438:BFZ786456 BPV786438:BPV786456 BZR786438:BZR786456 CJN786438:CJN786456 CTJ786438:CTJ786456 DDF786438:DDF786456 DNB786438:DNB786456 DWX786438:DWX786456 EGT786438:EGT786456 EQP786438:EQP786456 FAL786438:FAL786456 FKH786438:FKH786456 FUD786438:FUD786456 GDZ786438:GDZ786456 GNV786438:GNV786456 GXR786438:GXR786456 HHN786438:HHN786456 HRJ786438:HRJ786456 IBF786438:IBF786456 ILB786438:ILB786456 IUX786438:IUX786456 JET786438:JET786456 JOP786438:JOP786456 JYL786438:JYL786456 KIH786438:KIH786456 KSD786438:KSD786456 LBZ786438:LBZ786456 LLV786438:LLV786456 LVR786438:LVR786456 MFN786438:MFN786456 MPJ786438:MPJ786456 MZF786438:MZF786456 NJB786438:NJB786456 NSX786438:NSX786456 OCT786438:OCT786456 OMP786438:OMP786456 OWL786438:OWL786456 PGH786438:PGH786456 PQD786438:PQD786456 PZZ786438:PZZ786456 QJV786438:QJV786456 QTR786438:QTR786456 RDN786438:RDN786456 RNJ786438:RNJ786456 RXF786438:RXF786456 SHB786438:SHB786456 SQX786438:SQX786456 TAT786438:TAT786456 TKP786438:TKP786456 TUL786438:TUL786456 UEH786438:UEH786456 UOD786438:UOD786456 UXZ786438:UXZ786456 VHV786438:VHV786456 VRR786438:VRR786456 WBN786438:WBN786456 WLJ786438:WLJ786456 WVF786438:WVF786456 B851974:B851992 IT851974:IT851992 SP851974:SP851992 ACL851974:ACL851992 AMH851974:AMH851992 AWD851974:AWD851992 BFZ851974:BFZ851992 BPV851974:BPV851992 BZR851974:BZR851992 CJN851974:CJN851992 CTJ851974:CTJ851992 DDF851974:DDF851992 DNB851974:DNB851992 DWX851974:DWX851992 EGT851974:EGT851992 EQP851974:EQP851992 FAL851974:FAL851992 FKH851974:FKH851992 FUD851974:FUD851992 GDZ851974:GDZ851992 GNV851974:GNV851992 GXR851974:GXR851992 HHN851974:HHN851992 HRJ851974:HRJ851992 IBF851974:IBF851992 ILB851974:ILB851992 IUX851974:IUX851992 JET851974:JET851992 JOP851974:JOP851992 JYL851974:JYL851992 KIH851974:KIH851992 KSD851974:KSD851992 LBZ851974:LBZ851992 LLV851974:LLV851992 LVR851974:LVR851992 MFN851974:MFN851992 MPJ851974:MPJ851992 MZF851974:MZF851992 NJB851974:NJB851992 NSX851974:NSX851992 OCT851974:OCT851992 OMP851974:OMP851992 OWL851974:OWL851992 PGH851974:PGH851992 PQD851974:PQD851992 PZZ851974:PZZ851992 QJV851974:QJV851992 QTR851974:QTR851992 RDN851974:RDN851992 RNJ851974:RNJ851992 RXF851974:RXF851992 SHB851974:SHB851992 SQX851974:SQX851992 TAT851974:TAT851992 TKP851974:TKP851992 TUL851974:TUL851992 UEH851974:UEH851992 UOD851974:UOD851992 UXZ851974:UXZ851992 VHV851974:VHV851992 VRR851974:VRR851992 WBN851974:WBN851992 WLJ851974:WLJ851992 WVF851974:WVF851992 B917510:B917528 IT917510:IT917528 SP917510:SP917528 ACL917510:ACL917528 AMH917510:AMH917528 AWD917510:AWD917528 BFZ917510:BFZ917528 BPV917510:BPV917528 BZR917510:BZR917528 CJN917510:CJN917528 CTJ917510:CTJ917528 DDF917510:DDF917528 DNB917510:DNB917528 DWX917510:DWX917528 EGT917510:EGT917528 EQP917510:EQP917528 FAL917510:FAL917528 FKH917510:FKH917528 FUD917510:FUD917528 GDZ917510:GDZ917528 GNV917510:GNV917528 GXR917510:GXR917528 HHN917510:HHN917528 HRJ917510:HRJ917528 IBF917510:IBF917528 ILB917510:ILB917528 IUX917510:IUX917528 JET917510:JET917528 JOP917510:JOP917528 JYL917510:JYL917528 KIH917510:KIH917528 KSD917510:KSD917528 LBZ917510:LBZ917528 LLV917510:LLV917528 LVR917510:LVR917528 MFN917510:MFN917528 MPJ917510:MPJ917528 MZF917510:MZF917528 NJB917510:NJB917528 NSX917510:NSX917528 OCT917510:OCT917528 OMP917510:OMP917528 OWL917510:OWL917528 PGH917510:PGH917528 PQD917510:PQD917528 PZZ917510:PZZ917528 QJV917510:QJV917528 QTR917510:QTR917528 RDN917510:RDN917528 RNJ917510:RNJ917528 RXF917510:RXF917528 SHB917510:SHB917528 SQX917510:SQX917528 TAT917510:TAT917528 TKP917510:TKP917528 TUL917510:TUL917528 UEH917510:UEH917528 UOD917510:UOD917528 UXZ917510:UXZ917528 VHV917510:VHV917528 VRR917510:VRR917528 WBN917510:WBN917528 WLJ917510:WLJ917528 WVF917510:WVF917528 B983046:B983064 IT983046:IT983064 SP983046:SP983064 ACL983046:ACL983064 AMH983046:AMH983064 AWD983046:AWD983064 BFZ983046:BFZ983064 BPV983046:BPV983064 BZR983046:BZR983064 CJN983046:CJN983064 CTJ983046:CTJ983064 DDF983046:DDF983064 DNB983046:DNB983064 DWX983046:DWX983064 EGT983046:EGT983064 EQP983046:EQP983064 FAL983046:FAL983064 FKH983046:FKH983064 FUD983046:FUD983064 GDZ983046:GDZ983064 GNV983046:GNV983064 GXR983046:GXR983064 HHN983046:HHN983064 HRJ983046:HRJ983064 IBF983046:IBF983064 ILB983046:ILB983064 IUX983046:IUX983064 JET983046:JET983064 JOP983046:JOP983064 JYL983046:JYL983064 KIH983046:KIH983064 KSD983046:KSD983064 LBZ983046:LBZ983064 LLV983046:LLV983064 LVR983046:LVR983064 MFN983046:MFN983064 MPJ983046:MPJ983064 MZF983046:MZF983064 NJB983046:NJB983064 NSX983046:NSX983064 OCT983046:OCT983064 OMP983046:OMP983064 OWL983046:OWL983064 PGH983046:PGH983064 PQD983046:PQD983064 PZZ983046:PZZ983064 QJV983046:QJV983064 QTR983046:QTR983064 RDN983046:RDN983064 RNJ983046:RNJ983064 RXF983046:RXF983064 SHB983046:SHB983064 SQX983046:SQX983064 TAT983046:TAT983064 TKP983046:TKP983064 TUL983046:TUL983064 UEH983046:UEH983064 UOD983046:UOD983064 UXZ983046:UXZ983064 VHV983046:VHV983064 VRR983046:VRR983064 WBN983046:WBN983064 WLJ983046:WLJ983064 WVF983046:WVF983064 B38:B45 IT38:IT45 SP38:SP45 ACL38:ACL45 AMH38:AMH45 AWD38:AWD45 BFZ38:BFZ45 BPV38:BPV45 BZR38:BZR45 CJN38:CJN45 CTJ38:CTJ45 DDF38:DDF45 DNB38:DNB45 DWX38:DWX45 EGT38:EGT45 EQP38:EQP45 FAL38:FAL45 FKH38:FKH45 FUD38:FUD45 GDZ38:GDZ45 GNV38:GNV45 GXR38:GXR45 HHN38:HHN45 HRJ38:HRJ45 IBF38:IBF45 ILB38:ILB45 IUX38:IUX45 JET38:JET45 JOP38:JOP45 JYL38:JYL45 KIH38:KIH45 KSD38:KSD45 LBZ38:LBZ45 LLV38:LLV45 LVR38:LVR45 MFN38:MFN45 MPJ38:MPJ45 MZF38:MZF45 NJB38:NJB45 NSX38:NSX45 OCT38:OCT45 OMP38:OMP45 OWL38:OWL45 PGH38:PGH45 PQD38:PQD45 PZZ38:PZZ45 QJV38:QJV45 QTR38:QTR45 RDN38:RDN45 RNJ38:RNJ45 RXF38:RXF45 SHB38:SHB45 SQX38:SQX45 TAT38:TAT45 TKP38:TKP45 TUL38:TUL45 UEH38:UEH45 UOD38:UOD45 UXZ38:UXZ45 VHV38:VHV45 VRR38:VRR45 WBN38:WBN45 WLJ38:WLJ45 WVF38:WVF45 B65574:B65581 IT65574:IT65581 SP65574:SP65581 ACL65574:ACL65581 AMH65574:AMH65581 AWD65574:AWD65581 BFZ65574:BFZ65581 BPV65574:BPV65581 BZR65574:BZR65581 CJN65574:CJN65581 CTJ65574:CTJ65581 DDF65574:DDF65581 DNB65574:DNB65581 DWX65574:DWX65581 EGT65574:EGT65581 EQP65574:EQP65581 FAL65574:FAL65581 FKH65574:FKH65581 FUD65574:FUD65581 GDZ65574:GDZ65581 GNV65574:GNV65581 GXR65574:GXR65581 HHN65574:HHN65581 HRJ65574:HRJ65581 IBF65574:IBF65581 ILB65574:ILB65581 IUX65574:IUX65581 JET65574:JET65581 JOP65574:JOP65581 JYL65574:JYL65581 KIH65574:KIH65581 KSD65574:KSD65581 LBZ65574:LBZ65581 LLV65574:LLV65581 LVR65574:LVR65581 MFN65574:MFN65581 MPJ65574:MPJ65581 MZF65574:MZF65581 NJB65574:NJB65581 NSX65574:NSX65581 OCT65574:OCT65581 OMP65574:OMP65581 OWL65574:OWL65581 PGH65574:PGH65581 PQD65574:PQD65581 PZZ65574:PZZ65581 QJV65574:QJV65581 QTR65574:QTR65581 RDN65574:RDN65581 RNJ65574:RNJ65581 RXF65574:RXF65581 SHB65574:SHB65581 SQX65574:SQX65581 TAT65574:TAT65581 TKP65574:TKP65581 TUL65574:TUL65581 UEH65574:UEH65581 UOD65574:UOD65581 UXZ65574:UXZ65581 VHV65574:VHV65581 VRR65574:VRR65581 WBN65574:WBN65581 WLJ65574:WLJ65581 WVF65574:WVF65581 B131110:B131117 IT131110:IT131117 SP131110:SP131117 ACL131110:ACL131117 AMH131110:AMH131117 AWD131110:AWD131117 BFZ131110:BFZ131117 BPV131110:BPV131117 BZR131110:BZR131117 CJN131110:CJN131117 CTJ131110:CTJ131117 DDF131110:DDF131117 DNB131110:DNB131117 DWX131110:DWX131117 EGT131110:EGT131117 EQP131110:EQP131117 FAL131110:FAL131117 FKH131110:FKH131117 FUD131110:FUD131117 GDZ131110:GDZ131117 GNV131110:GNV131117 GXR131110:GXR131117 HHN131110:HHN131117 HRJ131110:HRJ131117 IBF131110:IBF131117 ILB131110:ILB131117 IUX131110:IUX131117 JET131110:JET131117 JOP131110:JOP131117 JYL131110:JYL131117 KIH131110:KIH131117 KSD131110:KSD131117 LBZ131110:LBZ131117 LLV131110:LLV131117 LVR131110:LVR131117 MFN131110:MFN131117 MPJ131110:MPJ131117 MZF131110:MZF131117 NJB131110:NJB131117 NSX131110:NSX131117 OCT131110:OCT131117 OMP131110:OMP131117 OWL131110:OWL131117 PGH131110:PGH131117 PQD131110:PQD131117 PZZ131110:PZZ131117 QJV131110:QJV131117 QTR131110:QTR131117 RDN131110:RDN131117 RNJ131110:RNJ131117 RXF131110:RXF131117 SHB131110:SHB131117 SQX131110:SQX131117 TAT131110:TAT131117 TKP131110:TKP131117 TUL131110:TUL131117 UEH131110:UEH131117 UOD131110:UOD131117 UXZ131110:UXZ131117 VHV131110:VHV131117 VRR131110:VRR131117 WBN131110:WBN131117 WLJ131110:WLJ131117 WVF131110:WVF131117 B196646:B196653 IT196646:IT196653 SP196646:SP196653 ACL196646:ACL196653 AMH196646:AMH196653 AWD196646:AWD196653 BFZ196646:BFZ196653 BPV196646:BPV196653 BZR196646:BZR196653 CJN196646:CJN196653 CTJ196646:CTJ196653 DDF196646:DDF196653 DNB196646:DNB196653 DWX196646:DWX196653 EGT196646:EGT196653 EQP196646:EQP196653 FAL196646:FAL196653 FKH196646:FKH196653 FUD196646:FUD196653 GDZ196646:GDZ196653 GNV196646:GNV196653 GXR196646:GXR196653 HHN196646:HHN196653 HRJ196646:HRJ196653 IBF196646:IBF196653 ILB196646:ILB196653 IUX196646:IUX196653 JET196646:JET196653 JOP196646:JOP196653 JYL196646:JYL196653 KIH196646:KIH196653 KSD196646:KSD196653 LBZ196646:LBZ196653 LLV196646:LLV196653 LVR196646:LVR196653 MFN196646:MFN196653 MPJ196646:MPJ196653 MZF196646:MZF196653 NJB196646:NJB196653 NSX196646:NSX196653 OCT196646:OCT196653 OMP196646:OMP196653 OWL196646:OWL196653 PGH196646:PGH196653 PQD196646:PQD196653 PZZ196646:PZZ196653 QJV196646:QJV196653 QTR196646:QTR196653 RDN196646:RDN196653 RNJ196646:RNJ196653 RXF196646:RXF196653 SHB196646:SHB196653 SQX196646:SQX196653 TAT196646:TAT196653 TKP196646:TKP196653 TUL196646:TUL196653 UEH196646:UEH196653 UOD196646:UOD196653 UXZ196646:UXZ196653 VHV196646:VHV196653 VRR196646:VRR196653 WBN196646:WBN196653 WLJ196646:WLJ196653 WVF196646:WVF196653 B262182:B262189 IT262182:IT262189 SP262182:SP262189 ACL262182:ACL262189 AMH262182:AMH262189 AWD262182:AWD262189 BFZ262182:BFZ262189 BPV262182:BPV262189 BZR262182:BZR262189 CJN262182:CJN262189 CTJ262182:CTJ262189 DDF262182:DDF262189 DNB262182:DNB262189 DWX262182:DWX262189 EGT262182:EGT262189 EQP262182:EQP262189 FAL262182:FAL262189 FKH262182:FKH262189 FUD262182:FUD262189 GDZ262182:GDZ262189 GNV262182:GNV262189 GXR262182:GXR262189 HHN262182:HHN262189 HRJ262182:HRJ262189 IBF262182:IBF262189 ILB262182:ILB262189 IUX262182:IUX262189 JET262182:JET262189 JOP262182:JOP262189 JYL262182:JYL262189 KIH262182:KIH262189 KSD262182:KSD262189 LBZ262182:LBZ262189 LLV262182:LLV262189 LVR262182:LVR262189 MFN262182:MFN262189 MPJ262182:MPJ262189 MZF262182:MZF262189 NJB262182:NJB262189 NSX262182:NSX262189 OCT262182:OCT262189 OMP262182:OMP262189 OWL262182:OWL262189 PGH262182:PGH262189 PQD262182:PQD262189 PZZ262182:PZZ262189 QJV262182:QJV262189 QTR262182:QTR262189 RDN262182:RDN262189 RNJ262182:RNJ262189 RXF262182:RXF262189 SHB262182:SHB262189 SQX262182:SQX262189 TAT262182:TAT262189 TKP262182:TKP262189 TUL262182:TUL262189 UEH262182:UEH262189 UOD262182:UOD262189 UXZ262182:UXZ262189 VHV262182:VHV262189 VRR262182:VRR262189 WBN262182:WBN262189 WLJ262182:WLJ262189 WVF262182:WVF262189 B327718:B327725 IT327718:IT327725 SP327718:SP327725 ACL327718:ACL327725 AMH327718:AMH327725 AWD327718:AWD327725 BFZ327718:BFZ327725 BPV327718:BPV327725 BZR327718:BZR327725 CJN327718:CJN327725 CTJ327718:CTJ327725 DDF327718:DDF327725 DNB327718:DNB327725 DWX327718:DWX327725 EGT327718:EGT327725 EQP327718:EQP327725 FAL327718:FAL327725 FKH327718:FKH327725 FUD327718:FUD327725 GDZ327718:GDZ327725 GNV327718:GNV327725 GXR327718:GXR327725 HHN327718:HHN327725 HRJ327718:HRJ327725 IBF327718:IBF327725 ILB327718:ILB327725 IUX327718:IUX327725 JET327718:JET327725 JOP327718:JOP327725 JYL327718:JYL327725 KIH327718:KIH327725 KSD327718:KSD327725 LBZ327718:LBZ327725 LLV327718:LLV327725 LVR327718:LVR327725 MFN327718:MFN327725 MPJ327718:MPJ327725 MZF327718:MZF327725 NJB327718:NJB327725 NSX327718:NSX327725 OCT327718:OCT327725 OMP327718:OMP327725 OWL327718:OWL327725 PGH327718:PGH327725 PQD327718:PQD327725 PZZ327718:PZZ327725 QJV327718:QJV327725 QTR327718:QTR327725 RDN327718:RDN327725 RNJ327718:RNJ327725 RXF327718:RXF327725 SHB327718:SHB327725 SQX327718:SQX327725 TAT327718:TAT327725 TKP327718:TKP327725 TUL327718:TUL327725 UEH327718:UEH327725 UOD327718:UOD327725 UXZ327718:UXZ327725 VHV327718:VHV327725 VRR327718:VRR327725 WBN327718:WBN327725 WLJ327718:WLJ327725 WVF327718:WVF327725 B393254:B393261 IT393254:IT393261 SP393254:SP393261 ACL393254:ACL393261 AMH393254:AMH393261 AWD393254:AWD393261 BFZ393254:BFZ393261 BPV393254:BPV393261 BZR393254:BZR393261 CJN393254:CJN393261 CTJ393254:CTJ393261 DDF393254:DDF393261 DNB393254:DNB393261 DWX393254:DWX393261 EGT393254:EGT393261 EQP393254:EQP393261 FAL393254:FAL393261 FKH393254:FKH393261 FUD393254:FUD393261 GDZ393254:GDZ393261 GNV393254:GNV393261 GXR393254:GXR393261 HHN393254:HHN393261 HRJ393254:HRJ393261 IBF393254:IBF393261 ILB393254:ILB393261 IUX393254:IUX393261 JET393254:JET393261 JOP393254:JOP393261 JYL393254:JYL393261 KIH393254:KIH393261 KSD393254:KSD393261 LBZ393254:LBZ393261 LLV393254:LLV393261 LVR393254:LVR393261 MFN393254:MFN393261 MPJ393254:MPJ393261 MZF393254:MZF393261 NJB393254:NJB393261 NSX393254:NSX393261 OCT393254:OCT393261 OMP393254:OMP393261 OWL393254:OWL393261 PGH393254:PGH393261 PQD393254:PQD393261 PZZ393254:PZZ393261 QJV393254:QJV393261 QTR393254:QTR393261 RDN393254:RDN393261 RNJ393254:RNJ393261 RXF393254:RXF393261 SHB393254:SHB393261 SQX393254:SQX393261 TAT393254:TAT393261 TKP393254:TKP393261 TUL393254:TUL393261 UEH393254:UEH393261 UOD393254:UOD393261 UXZ393254:UXZ393261 VHV393254:VHV393261 VRR393254:VRR393261 WBN393254:WBN393261 WLJ393254:WLJ393261 WVF393254:WVF393261 B458790:B458797 IT458790:IT458797 SP458790:SP458797 ACL458790:ACL458797 AMH458790:AMH458797 AWD458790:AWD458797 BFZ458790:BFZ458797 BPV458790:BPV458797 BZR458790:BZR458797 CJN458790:CJN458797 CTJ458790:CTJ458797 DDF458790:DDF458797 DNB458790:DNB458797 DWX458790:DWX458797 EGT458790:EGT458797 EQP458790:EQP458797 FAL458790:FAL458797 FKH458790:FKH458797 FUD458790:FUD458797 GDZ458790:GDZ458797 GNV458790:GNV458797 GXR458790:GXR458797 HHN458790:HHN458797 HRJ458790:HRJ458797 IBF458790:IBF458797 ILB458790:ILB458797 IUX458790:IUX458797 JET458790:JET458797 JOP458790:JOP458797 JYL458790:JYL458797 KIH458790:KIH458797 KSD458790:KSD458797 LBZ458790:LBZ458797 LLV458790:LLV458797 LVR458790:LVR458797 MFN458790:MFN458797 MPJ458790:MPJ458797 MZF458790:MZF458797 NJB458790:NJB458797 NSX458790:NSX458797 OCT458790:OCT458797 OMP458790:OMP458797 OWL458790:OWL458797 PGH458790:PGH458797 PQD458790:PQD458797 PZZ458790:PZZ458797 QJV458790:QJV458797 QTR458790:QTR458797 RDN458790:RDN458797 RNJ458790:RNJ458797 RXF458790:RXF458797 SHB458790:SHB458797 SQX458790:SQX458797 TAT458790:TAT458797 TKP458790:TKP458797 TUL458790:TUL458797 UEH458790:UEH458797 UOD458790:UOD458797 UXZ458790:UXZ458797 VHV458790:VHV458797 VRR458790:VRR458797 WBN458790:WBN458797 WLJ458790:WLJ458797 WVF458790:WVF458797 B524326:B524333 IT524326:IT524333 SP524326:SP524333 ACL524326:ACL524333 AMH524326:AMH524333 AWD524326:AWD524333 BFZ524326:BFZ524333 BPV524326:BPV524333 BZR524326:BZR524333 CJN524326:CJN524333 CTJ524326:CTJ524333 DDF524326:DDF524333 DNB524326:DNB524333 DWX524326:DWX524333 EGT524326:EGT524333 EQP524326:EQP524333 FAL524326:FAL524333 FKH524326:FKH524333 FUD524326:FUD524333 GDZ524326:GDZ524333 GNV524326:GNV524333 GXR524326:GXR524333 HHN524326:HHN524333 HRJ524326:HRJ524333 IBF524326:IBF524333 ILB524326:ILB524333 IUX524326:IUX524333 JET524326:JET524333 JOP524326:JOP524333 JYL524326:JYL524333 KIH524326:KIH524333 KSD524326:KSD524333 LBZ524326:LBZ524333 LLV524326:LLV524333 LVR524326:LVR524333 MFN524326:MFN524333 MPJ524326:MPJ524333 MZF524326:MZF524333 NJB524326:NJB524333 NSX524326:NSX524333 OCT524326:OCT524333 OMP524326:OMP524333 OWL524326:OWL524333 PGH524326:PGH524333 PQD524326:PQD524333 PZZ524326:PZZ524333 QJV524326:QJV524333 QTR524326:QTR524333 RDN524326:RDN524333 RNJ524326:RNJ524333 RXF524326:RXF524333 SHB524326:SHB524333 SQX524326:SQX524333 TAT524326:TAT524333 TKP524326:TKP524333 TUL524326:TUL524333 UEH524326:UEH524333 UOD524326:UOD524333 UXZ524326:UXZ524333 VHV524326:VHV524333 VRR524326:VRR524333 WBN524326:WBN524333 WLJ524326:WLJ524333 WVF524326:WVF524333 B589862:B589869 IT589862:IT589869 SP589862:SP589869 ACL589862:ACL589869 AMH589862:AMH589869 AWD589862:AWD589869 BFZ589862:BFZ589869 BPV589862:BPV589869 BZR589862:BZR589869 CJN589862:CJN589869 CTJ589862:CTJ589869 DDF589862:DDF589869 DNB589862:DNB589869 DWX589862:DWX589869 EGT589862:EGT589869 EQP589862:EQP589869 FAL589862:FAL589869 FKH589862:FKH589869 FUD589862:FUD589869 GDZ589862:GDZ589869 GNV589862:GNV589869 GXR589862:GXR589869 HHN589862:HHN589869 HRJ589862:HRJ589869 IBF589862:IBF589869 ILB589862:ILB589869 IUX589862:IUX589869 JET589862:JET589869 JOP589862:JOP589869 JYL589862:JYL589869 KIH589862:KIH589869 KSD589862:KSD589869 LBZ589862:LBZ589869 LLV589862:LLV589869 LVR589862:LVR589869 MFN589862:MFN589869 MPJ589862:MPJ589869 MZF589862:MZF589869 NJB589862:NJB589869 NSX589862:NSX589869 OCT589862:OCT589869 OMP589862:OMP589869 OWL589862:OWL589869 PGH589862:PGH589869 PQD589862:PQD589869 PZZ589862:PZZ589869 QJV589862:QJV589869 QTR589862:QTR589869 RDN589862:RDN589869 RNJ589862:RNJ589869 RXF589862:RXF589869 SHB589862:SHB589869 SQX589862:SQX589869 TAT589862:TAT589869 TKP589862:TKP589869 TUL589862:TUL589869 UEH589862:UEH589869 UOD589862:UOD589869 UXZ589862:UXZ589869 VHV589862:VHV589869 VRR589862:VRR589869 WBN589862:WBN589869 WLJ589862:WLJ589869 WVF589862:WVF589869 B655398:B655405 IT655398:IT655405 SP655398:SP655405 ACL655398:ACL655405 AMH655398:AMH655405 AWD655398:AWD655405 BFZ655398:BFZ655405 BPV655398:BPV655405 BZR655398:BZR655405 CJN655398:CJN655405 CTJ655398:CTJ655405 DDF655398:DDF655405 DNB655398:DNB655405 DWX655398:DWX655405 EGT655398:EGT655405 EQP655398:EQP655405 FAL655398:FAL655405 FKH655398:FKH655405 FUD655398:FUD655405 GDZ655398:GDZ655405 GNV655398:GNV655405 GXR655398:GXR655405 HHN655398:HHN655405 HRJ655398:HRJ655405 IBF655398:IBF655405 ILB655398:ILB655405 IUX655398:IUX655405 JET655398:JET655405 JOP655398:JOP655405 JYL655398:JYL655405 KIH655398:KIH655405 KSD655398:KSD655405 LBZ655398:LBZ655405 LLV655398:LLV655405 LVR655398:LVR655405 MFN655398:MFN655405 MPJ655398:MPJ655405 MZF655398:MZF655405 NJB655398:NJB655405 NSX655398:NSX655405 OCT655398:OCT655405 OMP655398:OMP655405 OWL655398:OWL655405 PGH655398:PGH655405 PQD655398:PQD655405 PZZ655398:PZZ655405 QJV655398:QJV655405 QTR655398:QTR655405 RDN655398:RDN655405 RNJ655398:RNJ655405 RXF655398:RXF655405 SHB655398:SHB655405 SQX655398:SQX655405 TAT655398:TAT655405 TKP655398:TKP655405 TUL655398:TUL655405 UEH655398:UEH655405 UOD655398:UOD655405 UXZ655398:UXZ655405 VHV655398:VHV655405 VRR655398:VRR655405 WBN655398:WBN655405 WLJ655398:WLJ655405 WVF655398:WVF655405 B720934:B720941 IT720934:IT720941 SP720934:SP720941 ACL720934:ACL720941 AMH720934:AMH720941 AWD720934:AWD720941 BFZ720934:BFZ720941 BPV720934:BPV720941 BZR720934:BZR720941 CJN720934:CJN720941 CTJ720934:CTJ720941 DDF720934:DDF720941 DNB720934:DNB720941 DWX720934:DWX720941 EGT720934:EGT720941 EQP720934:EQP720941 FAL720934:FAL720941 FKH720934:FKH720941 FUD720934:FUD720941 GDZ720934:GDZ720941 GNV720934:GNV720941 GXR720934:GXR720941 HHN720934:HHN720941 HRJ720934:HRJ720941 IBF720934:IBF720941 ILB720934:ILB720941 IUX720934:IUX720941 JET720934:JET720941 JOP720934:JOP720941 JYL720934:JYL720941 KIH720934:KIH720941 KSD720934:KSD720941 LBZ720934:LBZ720941 LLV720934:LLV720941 LVR720934:LVR720941 MFN720934:MFN720941 MPJ720934:MPJ720941 MZF720934:MZF720941 NJB720934:NJB720941 NSX720934:NSX720941 OCT720934:OCT720941 OMP720934:OMP720941 OWL720934:OWL720941 PGH720934:PGH720941 PQD720934:PQD720941 PZZ720934:PZZ720941 QJV720934:QJV720941 QTR720934:QTR720941 RDN720934:RDN720941 RNJ720934:RNJ720941 RXF720934:RXF720941 SHB720934:SHB720941 SQX720934:SQX720941 TAT720934:TAT720941 TKP720934:TKP720941 TUL720934:TUL720941 UEH720934:UEH720941 UOD720934:UOD720941 UXZ720934:UXZ720941 VHV720934:VHV720941 VRR720934:VRR720941 WBN720934:WBN720941 WLJ720934:WLJ720941 WVF720934:WVF720941 B786470:B786477 IT786470:IT786477 SP786470:SP786477 ACL786470:ACL786477 AMH786470:AMH786477 AWD786470:AWD786477 BFZ786470:BFZ786477 BPV786470:BPV786477 BZR786470:BZR786477 CJN786470:CJN786477 CTJ786470:CTJ786477 DDF786470:DDF786477 DNB786470:DNB786477 DWX786470:DWX786477 EGT786470:EGT786477 EQP786470:EQP786477 FAL786470:FAL786477 FKH786470:FKH786477 FUD786470:FUD786477 GDZ786470:GDZ786477 GNV786470:GNV786477 GXR786470:GXR786477 HHN786470:HHN786477 HRJ786470:HRJ786477 IBF786470:IBF786477 ILB786470:ILB786477 IUX786470:IUX786477 JET786470:JET786477 JOP786470:JOP786477 JYL786470:JYL786477 KIH786470:KIH786477 KSD786470:KSD786477 LBZ786470:LBZ786477 LLV786470:LLV786477 LVR786470:LVR786477 MFN786470:MFN786477 MPJ786470:MPJ786477 MZF786470:MZF786477 NJB786470:NJB786477 NSX786470:NSX786477 OCT786470:OCT786477 OMP786470:OMP786477 OWL786470:OWL786477 PGH786470:PGH786477 PQD786470:PQD786477 PZZ786470:PZZ786477 QJV786470:QJV786477 QTR786470:QTR786477 RDN786470:RDN786477 RNJ786470:RNJ786477 RXF786470:RXF786477 SHB786470:SHB786477 SQX786470:SQX786477 TAT786470:TAT786477 TKP786470:TKP786477 TUL786470:TUL786477 UEH786470:UEH786477 UOD786470:UOD786477 UXZ786470:UXZ786477 VHV786470:VHV786477 VRR786470:VRR786477 WBN786470:WBN786477 WLJ786470:WLJ786477 WVF786470:WVF786477 B852006:B852013 IT852006:IT852013 SP852006:SP852013 ACL852006:ACL852013 AMH852006:AMH852013 AWD852006:AWD852013 BFZ852006:BFZ852013 BPV852006:BPV852013 BZR852006:BZR852013 CJN852006:CJN852013 CTJ852006:CTJ852013 DDF852006:DDF852013 DNB852006:DNB852013 DWX852006:DWX852013 EGT852006:EGT852013 EQP852006:EQP852013 FAL852006:FAL852013 FKH852006:FKH852013 FUD852006:FUD852013 GDZ852006:GDZ852013 GNV852006:GNV852013 GXR852006:GXR852013 HHN852006:HHN852013 HRJ852006:HRJ852013 IBF852006:IBF852013 ILB852006:ILB852013 IUX852006:IUX852013 JET852006:JET852013 JOP852006:JOP852013 JYL852006:JYL852013 KIH852006:KIH852013 KSD852006:KSD852013 LBZ852006:LBZ852013 LLV852006:LLV852013 LVR852006:LVR852013 MFN852006:MFN852013 MPJ852006:MPJ852013 MZF852006:MZF852013 NJB852006:NJB852013 NSX852006:NSX852013 OCT852006:OCT852013 OMP852006:OMP852013 OWL852006:OWL852013 PGH852006:PGH852013 PQD852006:PQD852013 PZZ852006:PZZ852013 QJV852006:QJV852013 QTR852006:QTR852013 RDN852006:RDN852013 RNJ852006:RNJ852013 RXF852006:RXF852013 SHB852006:SHB852013 SQX852006:SQX852013 TAT852006:TAT852013 TKP852006:TKP852013 TUL852006:TUL852013 UEH852006:UEH852013 UOD852006:UOD852013 UXZ852006:UXZ852013 VHV852006:VHV852013 VRR852006:VRR852013 WBN852006:WBN852013 WLJ852006:WLJ852013 WVF852006:WVF852013 B917542:B917549 IT917542:IT917549 SP917542:SP917549 ACL917542:ACL917549 AMH917542:AMH917549 AWD917542:AWD917549 BFZ917542:BFZ917549 BPV917542:BPV917549 BZR917542:BZR917549 CJN917542:CJN917549 CTJ917542:CTJ917549 DDF917542:DDF917549 DNB917542:DNB917549 DWX917542:DWX917549 EGT917542:EGT917549 EQP917542:EQP917549 FAL917542:FAL917549 FKH917542:FKH917549 FUD917542:FUD917549 GDZ917542:GDZ917549 GNV917542:GNV917549 GXR917542:GXR917549 HHN917542:HHN917549 HRJ917542:HRJ917549 IBF917542:IBF917549 ILB917542:ILB917549 IUX917542:IUX917549 JET917542:JET917549 JOP917542:JOP917549 JYL917542:JYL917549 KIH917542:KIH917549 KSD917542:KSD917549 LBZ917542:LBZ917549 LLV917542:LLV917549 LVR917542:LVR917549 MFN917542:MFN917549 MPJ917542:MPJ917549 MZF917542:MZF917549 NJB917542:NJB917549 NSX917542:NSX917549 OCT917542:OCT917549 OMP917542:OMP917549 OWL917542:OWL917549 PGH917542:PGH917549 PQD917542:PQD917549 PZZ917542:PZZ917549 QJV917542:QJV917549 QTR917542:QTR917549 RDN917542:RDN917549 RNJ917542:RNJ917549 RXF917542:RXF917549 SHB917542:SHB917549 SQX917542:SQX917549 TAT917542:TAT917549 TKP917542:TKP917549 TUL917542:TUL917549 UEH917542:UEH917549 UOD917542:UOD917549 UXZ917542:UXZ917549 VHV917542:VHV917549 VRR917542:VRR917549 WBN917542:WBN917549 WLJ917542:WLJ917549 WVF917542:WVF917549 B983078:B983085 IT983078:IT983085 SP983078:SP983085 ACL983078:ACL983085 AMH983078:AMH983085 AWD983078:AWD983085 BFZ983078:BFZ983085 BPV983078:BPV983085 BZR983078:BZR983085 CJN983078:CJN983085 CTJ983078:CTJ983085 DDF983078:DDF983085 DNB983078:DNB983085 DWX983078:DWX983085 EGT983078:EGT983085 EQP983078:EQP983085 FAL983078:FAL983085 FKH983078:FKH983085 FUD983078:FUD983085 GDZ983078:GDZ983085 GNV983078:GNV983085 GXR983078:GXR983085 HHN983078:HHN983085 HRJ983078:HRJ983085 IBF983078:IBF983085 ILB983078:ILB983085 IUX983078:IUX983085 JET983078:JET983085 JOP983078:JOP983085 JYL983078:JYL983085 KIH983078:KIH983085 KSD983078:KSD983085 LBZ983078:LBZ983085 LLV983078:LLV983085 LVR983078:LVR983085 MFN983078:MFN983085 MPJ983078:MPJ983085 MZF983078:MZF983085 NJB983078:NJB983085 NSX983078:NSX983085 OCT983078:OCT983085 OMP983078:OMP983085 OWL983078:OWL983085 PGH983078:PGH983085 PQD983078:PQD983085 PZZ983078:PZZ983085 QJV983078:QJV983085 QTR983078:QTR983085 RDN983078:RDN983085 RNJ983078:RNJ983085 RXF983078:RXF983085 SHB983078:SHB983085 SQX983078:SQX983085 TAT983078:TAT983085 TKP983078:TKP983085 TUL983078:TUL983085 UEH983078:UEH983085 UOD983078:UOD983085 UXZ983078:UXZ983085 VHV983078:VHV983085 VRR983078:VRR983085 WBN983078:WBN983085 WLJ983078:WLJ983085 WVF983078:WVF983085 B70:B75 IT70:IT75 SP70:SP75 ACL70:ACL75 AMH70:AMH75 AWD70:AWD75 BFZ70:BFZ75 BPV70:BPV75 BZR70:BZR75 CJN70:CJN75 CTJ70:CTJ75 DDF70:DDF75 DNB70:DNB75 DWX70:DWX75 EGT70:EGT75 EQP70:EQP75 FAL70:FAL75 FKH70:FKH75 FUD70:FUD75 GDZ70:GDZ75 GNV70:GNV75 GXR70:GXR75 HHN70:HHN75 HRJ70:HRJ75 IBF70:IBF75 ILB70:ILB75 IUX70:IUX75 JET70:JET75 JOP70:JOP75 JYL70:JYL75 KIH70:KIH75 KSD70:KSD75 LBZ70:LBZ75 LLV70:LLV75 LVR70:LVR75 MFN70:MFN75 MPJ70:MPJ75 MZF70:MZF75 NJB70:NJB75 NSX70:NSX75 OCT70:OCT75 OMP70:OMP75 OWL70:OWL75 PGH70:PGH75 PQD70:PQD75 PZZ70:PZZ75 QJV70:QJV75 QTR70:QTR75 RDN70:RDN75 RNJ70:RNJ75 RXF70:RXF75 SHB70:SHB75 SQX70:SQX75 TAT70:TAT75 TKP70:TKP75 TUL70:TUL75 UEH70:UEH75 UOD70:UOD75 UXZ70:UXZ75 VHV70:VHV75 VRR70:VRR75 WBN70:WBN75 WLJ70:WLJ75 WVF70:WVF75 B65606:B65611 IT65606:IT65611 SP65606:SP65611 ACL65606:ACL65611 AMH65606:AMH65611 AWD65606:AWD65611 BFZ65606:BFZ65611 BPV65606:BPV65611 BZR65606:BZR65611 CJN65606:CJN65611 CTJ65606:CTJ65611 DDF65606:DDF65611 DNB65606:DNB65611 DWX65606:DWX65611 EGT65606:EGT65611 EQP65606:EQP65611 FAL65606:FAL65611 FKH65606:FKH65611 FUD65606:FUD65611 GDZ65606:GDZ65611 GNV65606:GNV65611 GXR65606:GXR65611 HHN65606:HHN65611 HRJ65606:HRJ65611 IBF65606:IBF65611 ILB65606:ILB65611 IUX65606:IUX65611 JET65606:JET65611 JOP65606:JOP65611 JYL65606:JYL65611 KIH65606:KIH65611 KSD65606:KSD65611 LBZ65606:LBZ65611 LLV65606:LLV65611 LVR65606:LVR65611 MFN65606:MFN65611 MPJ65606:MPJ65611 MZF65606:MZF65611 NJB65606:NJB65611 NSX65606:NSX65611 OCT65606:OCT65611 OMP65606:OMP65611 OWL65606:OWL65611 PGH65606:PGH65611 PQD65606:PQD65611 PZZ65606:PZZ65611 QJV65606:QJV65611 QTR65606:QTR65611 RDN65606:RDN65611 RNJ65606:RNJ65611 RXF65606:RXF65611 SHB65606:SHB65611 SQX65606:SQX65611 TAT65606:TAT65611 TKP65606:TKP65611 TUL65606:TUL65611 UEH65606:UEH65611 UOD65606:UOD65611 UXZ65606:UXZ65611 VHV65606:VHV65611 VRR65606:VRR65611 WBN65606:WBN65611 WLJ65606:WLJ65611 WVF65606:WVF65611 B131142:B131147 IT131142:IT131147 SP131142:SP131147 ACL131142:ACL131147 AMH131142:AMH131147 AWD131142:AWD131147 BFZ131142:BFZ131147 BPV131142:BPV131147 BZR131142:BZR131147 CJN131142:CJN131147 CTJ131142:CTJ131147 DDF131142:DDF131147 DNB131142:DNB131147 DWX131142:DWX131147 EGT131142:EGT131147 EQP131142:EQP131147 FAL131142:FAL131147 FKH131142:FKH131147 FUD131142:FUD131147 GDZ131142:GDZ131147 GNV131142:GNV131147 GXR131142:GXR131147 HHN131142:HHN131147 HRJ131142:HRJ131147 IBF131142:IBF131147 ILB131142:ILB131147 IUX131142:IUX131147 JET131142:JET131147 JOP131142:JOP131147 JYL131142:JYL131147 KIH131142:KIH131147 KSD131142:KSD131147 LBZ131142:LBZ131147 LLV131142:LLV131147 LVR131142:LVR131147 MFN131142:MFN131147 MPJ131142:MPJ131147 MZF131142:MZF131147 NJB131142:NJB131147 NSX131142:NSX131147 OCT131142:OCT131147 OMP131142:OMP131147 OWL131142:OWL131147 PGH131142:PGH131147 PQD131142:PQD131147 PZZ131142:PZZ131147 QJV131142:QJV131147 QTR131142:QTR131147 RDN131142:RDN131147 RNJ131142:RNJ131147 RXF131142:RXF131147 SHB131142:SHB131147 SQX131142:SQX131147 TAT131142:TAT131147 TKP131142:TKP131147 TUL131142:TUL131147 UEH131142:UEH131147 UOD131142:UOD131147 UXZ131142:UXZ131147 VHV131142:VHV131147 VRR131142:VRR131147 WBN131142:WBN131147 WLJ131142:WLJ131147 WVF131142:WVF131147 B196678:B196683 IT196678:IT196683 SP196678:SP196683 ACL196678:ACL196683 AMH196678:AMH196683 AWD196678:AWD196683 BFZ196678:BFZ196683 BPV196678:BPV196683 BZR196678:BZR196683 CJN196678:CJN196683 CTJ196678:CTJ196683 DDF196678:DDF196683 DNB196678:DNB196683 DWX196678:DWX196683 EGT196678:EGT196683 EQP196678:EQP196683 FAL196678:FAL196683 FKH196678:FKH196683 FUD196678:FUD196683 GDZ196678:GDZ196683 GNV196678:GNV196683 GXR196678:GXR196683 HHN196678:HHN196683 HRJ196678:HRJ196683 IBF196678:IBF196683 ILB196678:ILB196683 IUX196678:IUX196683 JET196678:JET196683 JOP196678:JOP196683 JYL196678:JYL196683 KIH196678:KIH196683 KSD196678:KSD196683 LBZ196678:LBZ196683 LLV196678:LLV196683 LVR196678:LVR196683 MFN196678:MFN196683 MPJ196678:MPJ196683 MZF196678:MZF196683 NJB196678:NJB196683 NSX196678:NSX196683 OCT196678:OCT196683 OMP196678:OMP196683 OWL196678:OWL196683 PGH196678:PGH196683 PQD196678:PQD196683 PZZ196678:PZZ196683 QJV196678:QJV196683 QTR196678:QTR196683 RDN196678:RDN196683 RNJ196678:RNJ196683 RXF196678:RXF196683 SHB196678:SHB196683 SQX196678:SQX196683 TAT196678:TAT196683 TKP196678:TKP196683 TUL196678:TUL196683 UEH196678:UEH196683 UOD196678:UOD196683 UXZ196678:UXZ196683 VHV196678:VHV196683 VRR196678:VRR196683 WBN196678:WBN196683 WLJ196678:WLJ196683 WVF196678:WVF196683 B262214:B262219 IT262214:IT262219 SP262214:SP262219 ACL262214:ACL262219 AMH262214:AMH262219 AWD262214:AWD262219 BFZ262214:BFZ262219 BPV262214:BPV262219 BZR262214:BZR262219 CJN262214:CJN262219 CTJ262214:CTJ262219 DDF262214:DDF262219 DNB262214:DNB262219 DWX262214:DWX262219 EGT262214:EGT262219 EQP262214:EQP262219 FAL262214:FAL262219 FKH262214:FKH262219 FUD262214:FUD262219 GDZ262214:GDZ262219 GNV262214:GNV262219 GXR262214:GXR262219 HHN262214:HHN262219 HRJ262214:HRJ262219 IBF262214:IBF262219 ILB262214:ILB262219 IUX262214:IUX262219 JET262214:JET262219 JOP262214:JOP262219 JYL262214:JYL262219 KIH262214:KIH262219 KSD262214:KSD262219 LBZ262214:LBZ262219 LLV262214:LLV262219 LVR262214:LVR262219 MFN262214:MFN262219 MPJ262214:MPJ262219 MZF262214:MZF262219 NJB262214:NJB262219 NSX262214:NSX262219 OCT262214:OCT262219 OMP262214:OMP262219 OWL262214:OWL262219 PGH262214:PGH262219 PQD262214:PQD262219 PZZ262214:PZZ262219 QJV262214:QJV262219 QTR262214:QTR262219 RDN262214:RDN262219 RNJ262214:RNJ262219 RXF262214:RXF262219 SHB262214:SHB262219 SQX262214:SQX262219 TAT262214:TAT262219 TKP262214:TKP262219 TUL262214:TUL262219 UEH262214:UEH262219 UOD262214:UOD262219 UXZ262214:UXZ262219 VHV262214:VHV262219 VRR262214:VRR262219 WBN262214:WBN262219 WLJ262214:WLJ262219 WVF262214:WVF262219 B327750:B327755 IT327750:IT327755 SP327750:SP327755 ACL327750:ACL327755 AMH327750:AMH327755 AWD327750:AWD327755 BFZ327750:BFZ327755 BPV327750:BPV327755 BZR327750:BZR327755 CJN327750:CJN327755 CTJ327750:CTJ327755 DDF327750:DDF327755 DNB327750:DNB327755 DWX327750:DWX327755 EGT327750:EGT327755 EQP327750:EQP327755 FAL327750:FAL327755 FKH327750:FKH327755 FUD327750:FUD327755 GDZ327750:GDZ327755 GNV327750:GNV327755 GXR327750:GXR327755 HHN327750:HHN327755 HRJ327750:HRJ327755 IBF327750:IBF327755 ILB327750:ILB327755 IUX327750:IUX327755 JET327750:JET327755 JOP327750:JOP327755 JYL327750:JYL327755 KIH327750:KIH327755 KSD327750:KSD327755 LBZ327750:LBZ327755 LLV327750:LLV327755 LVR327750:LVR327755 MFN327750:MFN327755 MPJ327750:MPJ327755 MZF327750:MZF327755 NJB327750:NJB327755 NSX327750:NSX327755 OCT327750:OCT327755 OMP327750:OMP327755 OWL327750:OWL327755 PGH327750:PGH327755 PQD327750:PQD327755 PZZ327750:PZZ327755 QJV327750:QJV327755 QTR327750:QTR327755 RDN327750:RDN327755 RNJ327750:RNJ327755 RXF327750:RXF327755 SHB327750:SHB327755 SQX327750:SQX327755 TAT327750:TAT327755 TKP327750:TKP327755 TUL327750:TUL327755 UEH327750:UEH327755 UOD327750:UOD327755 UXZ327750:UXZ327755 VHV327750:VHV327755 VRR327750:VRR327755 WBN327750:WBN327755 WLJ327750:WLJ327755 WVF327750:WVF327755 B393286:B393291 IT393286:IT393291 SP393286:SP393291 ACL393286:ACL393291 AMH393286:AMH393291 AWD393286:AWD393291 BFZ393286:BFZ393291 BPV393286:BPV393291 BZR393286:BZR393291 CJN393286:CJN393291 CTJ393286:CTJ393291 DDF393286:DDF393291 DNB393286:DNB393291 DWX393286:DWX393291 EGT393286:EGT393291 EQP393286:EQP393291 FAL393286:FAL393291 FKH393286:FKH393291 FUD393286:FUD393291 GDZ393286:GDZ393291 GNV393286:GNV393291 GXR393286:GXR393291 HHN393286:HHN393291 HRJ393286:HRJ393291 IBF393286:IBF393291 ILB393286:ILB393291 IUX393286:IUX393291 JET393286:JET393291 JOP393286:JOP393291 JYL393286:JYL393291 KIH393286:KIH393291 KSD393286:KSD393291 LBZ393286:LBZ393291 LLV393286:LLV393291 LVR393286:LVR393291 MFN393286:MFN393291 MPJ393286:MPJ393291 MZF393286:MZF393291 NJB393286:NJB393291 NSX393286:NSX393291 OCT393286:OCT393291 OMP393286:OMP393291 OWL393286:OWL393291 PGH393286:PGH393291 PQD393286:PQD393291 PZZ393286:PZZ393291 QJV393286:QJV393291 QTR393286:QTR393291 RDN393286:RDN393291 RNJ393286:RNJ393291 RXF393286:RXF393291 SHB393286:SHB393291 SQX393286:SQX393291 TAT393286:TAT393291 TKP393286:TKP393291 TUL393286:TUL393291 UEH393286:UEH393291 UOD393286:UOD393291 UXZ393286:UXZ393291 VHV393286:VHV393291 VRR393286:VRR393291 WBN393286:WBN393291 WLJ393286:WLJ393291 WVF393286:WVF393291 B458822:B458827 IT458822:IT458827 SP458822:SP458827 ACL458822:ACL458827 AMH458822:AMH458827 AWD458822:AWD458827 BFZ458822:BFZ458827 BPV458822:BPV458827 BZR458822:BZR458827 CJN458822:CJN458827 CTJ458822:CTJ458827 DDF458822:DDF458827 DNB458822:DNB458827 DWX458822:DWX458827 EGT458822:EGT458827 EQP458822:EQP458827 FAL458822:FAL458827 FKH458822:FKH458827 FUD458822:FUD458827 GDZ458822:GDZ458827 GNV458822:GNV458827 GXR458822:GXR458827 HHN458822:HHN458827 HRJ458822:HRJ458827 IBF458822:IBF458827 ILB458822:ILB458827 IUX458822:IUX458827 JET458822:JET458827 JOP458822:JOP458827 JYL458822:JYL458827 KIH458822:KIH458827 KSD458822:KSD458827 LBZ458822:LBZ458827 LLV458822:LLV458827 LVR458822:LVR458827 MFN458822:MFN458827 MPJ458822:MPJ458827 MZF458822:MZF458827 NJB458822:NJB458827 NSX458822:NSX458827 OCT458822:OCT458827 OMP458822:OMP458827 OWL458822:OWL458827 PGH458822:PGH458827 PQD458822:PQD458827 PZZ458822:PZZ458827 QJV458822:QJV458827 QTR458822:QTR458827 RDN458822:RDN458827 RNJ458822:RNJ458827 RXF458822:RXF458827 SHB458822:SHB458827 SQX458822:SQX458827 TAT458822:TAT458827 TKP458822:TKP458827 TUL458822:TUL458827 UEH458822:UEH458827 UOD458822:UOD458827 UXZ458822:UXZ458827 VHV458822:VHV458827 VRR458822:VRR458827 WBN458822:WBN458827 WLJ458822:WLJ458827 WVF458822:WVF458827 B524358:B524363 IT524358:IT524363 SP524358:SP524363 ACL524358:ACL524363 AMH524358:AMH524363 AWD524358:AWD524363 BFZ524358:BFZ524363 BPV524358:BPV524363 BZR524358:BZR524363 CJN524358:CJN524363 CTJ524358:CTJ524363 DDF524358:DDF524363 DNB524358:DNB524363 DWX524358:DWX524363 EGT524358:EGT524363 EQP524358:EQP524363 FAL524358:FAL524363 FKH524358:FKH524363 FUD524358:FUD524363 GDZ524358:GDZ524363 GNV524358:GNV524363 GXR524358:GXR524363 HHN524358:HHN524363 HRJ524358:HRJ524363 IBF524358:IBF524363 ILB524358:ILB524363 IUX524358:IUX524363 JET524358:JET524363 JOP524358:JOP524363 JYL524358:JYL524363 KIH524358:KIH524363 KSD524358:KSD524363 LBZ524358:LBZ524363 LLV524358:LLV524363 LVR524358:LVR524363 MFN524358:MFN524363 MPJ524358:MPJ524363 MZF524358:MZF524363 NJB524358:NJB524363 NSX524358:NSX524363 OCT524358:OCT524363 OMP524358:OMP524363 OWL524358:OWL524363 PGH524358:PGH524363 PQD524358:PQD524363 PZZ524358:PZZ524363 QJV524358:QJV524363 QTR524358:QTR524363 RDN524358:RDN524363 RNJ524358:RNJ524363 RXF524358:RXF524363 SHB524358:SHB524363 SQX524358:SQX524363 TAT524358:TAT524363 TKP524358:TKP524363 TUL524358:TUL524363 UEH524358:UEH524363 UOD524358:UOD524363 UXZ524358:UXZ524363 VHV524358:VHV524363 VRR524358:VRR524363 WBN524358:WBN524363 WLJ524358:WLJ524363 WVF524358:WVF524363 B589894:B589899 IT589894:IT589899 SP589894:SP589899 ACL589894:ACL589899 AMH589894:AMH589899 AWD589894:AWD589899 BFZ589894:BFZ589899 BPV589894:BPV589899 BZR589894:BZR589899 CJN589894:CJN589899 CTJ589894:CTJ589899 DDF589894:DDF589899 DNB589894:DNB589899 DWX589894:DWX589899 EGT589894:EGT589899 EQP589894:EQP589899 FAL589894:FAL589899 FKH589894:FKH589899 FUD589894:FUD589899 GDZ589894:GDZ589899 GNV589894:GNV589899 GXR589894:GXR589899 HHN589894:HHN589899 HRJ589894:HRJ589899 IBF589894:IBF589899 ILB589894:ILB589899 IUX589894:IUX589899 JET589894:JET589899 JOP589894:JOP589899 JYL589894:JYL589899 KIH589894:KIH589899 KSD589894:KSD589899 LBZ589894:LBZ589899 LLV589894:LLV589899 LVR589894:LVR589899 MFN589894:MFN589899 MPJ589894:MPJ589899 MZF589894:MZF589899 NJB589894:NJB589899 NSX589894:NSX589899 OCT589894:OCT589899 OMP589894:OMP589899 OWL589894:OWL589899 PGH589894:PGH589899 PQD589894:PQD589899 PZZ589894:PZZ589899 QJV589894:QJV589899 QTR589894:QTR589899 RDN589894:RDN589899 RNJ589894:RNJ589899 RXF589894:RXF589899 SHB589894:SHB589899 SQX589894:SQX589899 TAT589894:TAT589899 TKP589894:TKP589899 TUL589894:TUL589899 UEH589894:UEH589899 UOD589894:UOD589899 UXZ589894:UXZ589899 VHV589894:VHV589899 VRR589894:VRR589899 WBN589894:WBN589899 WLJ589894:WLJ589899 WVF589894:WVF589899 B655430:B655435 IT655430:IT655435 SP655430:SP655435 ACL655430:ACL655435 AMH655430:AMH655435 AWD655430:AWD655435 BFZ655430:BFZ655435 BPV655430:BPV655435 BZR655430:BZR655435 CJN655430:CJN655435 CTJ655430:CTJ655435 DDF655430:DDF655435 DNB655430:DNB655435 DWX655430:DWX655435 EGT655430:EGT655435 EQP655430:EQP655435 FAL655430:FAL655435 FKH655430:FKH655435 FUD655430:FUD655435 GDZ655430:GDZ655435 GNV655430:GNV655435 GXR655430:GXR655435 HHN655430:HHN655435 HRJ655430:HRJ655435 IBF655430:IBF655435 ILB655430:ILB655435 IUX655430:IUX655435 JET655430:JET655435 JOP655430:JOP655435 JYL655430:JYL655435 KIH655430:KIH655435 KSD655430:KSD655435 LBZ655430:LBZ655435 LLV655430:LLV655435 LVR655430:LVR655435 MFN655430:MFN655435 MPJ655430:MPJ655435 MZF655430:MZF655435 NJB655430:NJB655435 NSX655430:NSX655435 OCT655430:OCT655435 OMP655430:OMP655435 OWL655430:OWL655435 PGH655430:PGH655435 PQD655430:PQD655435 PZZ655430:PZZ655435 QJV655430:QJV655435 QTR655430:QTR655435 RDN655430:RDN655435 RNJ655430:RNJ655435 RXF655430:RXF655435 SHB655430:SHB655435 SQX655430:SQX655435 TAT655430:TAT655435 TKP655430:TKP655435 TUL655430:TUL655435 UEH655430:UEH655435 UOD655430:UOD655435 UXZ655430:UXZ655435 VHV655430:VHV655435 VRR655430:VRR655435 WBN655430:WBN655435 WLJ655430:WLJ655435 WVF655430:WVF655435 B720966:B720971 IT720966:IT720971 SP720966:SP720971 ACL720966:ACL720971 AMH720966:AMH720971 AWD720966:AWD720971 BFZ720966:BFZ720971 BPV720966:BPV720971 BZR720966:BZR720971 CJN720966:CJN720971 CTJ720966:CTJ720971 DDF720966:DDF720971 DNB720966:DNB720971 DWX720966:DWX720971 EGT720966:EGT720971 EQP720966:EQP720971 FAL720966:FAL720971 FKH720966:FKH720971 FUD720966:FUD720971 GDZ720966:GDZ720971 GNV720966:GNV720971 GXR720966:GXR720971 HHN720966:HHN720971 HRJ720966:HRJ720971 IBF720966:IBF720971 ILB720966:ILB720971 IUX720966:IUX720971 JET720966:JET720971 JOP720966:JOP720971 JYL720966:JYL720971 KIH720966:KIH720971 KSD720966:KSD720971 LBZ720966:LBZ720971 LLV720966:LLV720971 LVR720966:LVR720971 MFN720966:MFN720971 MPJ720966:MPJ720971 MZF720966:MZF720971 NJB720966:NJB720971 NSX720966:NSX720971 OCT720966:OCT720971 OMP720966:OMP720971 OWL720966:OWL720971 PGH720966:PGH720971 PQD720966:PQD720971 PZZ720966:PZZ720971 QJV720966:QJV720971 QTR720966:QTR720971 RDN720966:RDN720971 RNJ720966:RNJ720971 RXF720966:RXF720971 SHB720966:SHB720971 SQX720966:SQX720971 TAT720966:TAT720971 TKP720966:TKP720971 TUL720966:TUL720971 UEH720966:UEH720971 UOD720966:UOD720971 UXZ720966:UXZ720971 VHV720966:VHV720971 VRR720966:VRR720971 WBN720966:WBN720971 WLJ720966:WLJ720971 WVF720966:WVF720971 B786502:B786507 IT786502:IT786507 SP786502:SP786507 ACL786502:ACL786507 AMH786502:AMH786507 AWD786502:AWD786507 BFZ786502:BFZ786507 BPV786502:BPV786507 BZR786502:BZR786507 CJN786502:CJN786507 CTJ786502:CTJ786507 DDF786502:DDF786507 DNB786502:DNB786507 DWX786502:DWX786507 EGT786502:EGT786507 EQP786502:EQP786507 FAL786502:FAL786507 FKH786502:FKH786507 FUD786502:FUD786507 GDZ786502:GDZ786507 GNV786502:GNV786507 GXR786502:GXR786507 HHN786502:HHN786507 HRJ786502:HRJ786507 IBF786502:IBF786507 ILB786502:ILB786507 IUX786502:IUX786507 JET786502:JET786507 JOP786502:JOP786507 JYL786502:JYL786507 KIH786502:KIH786507 KSD786502:KSD786507 LBZ786502:LBZ786507 LLV786502:LLV786507 LVR786502:LVR786507 MFN786502:MFN786507 MPJ786502:MPJ786507 MZF786502:MZF786507 NJB786502:NJB786507 NSX786502:NSX786507 OCT786502:OCT786507 OMP786502:OMP786507 OWL786502:OWL786507 PGH786502:PGH786507 PQD786502:PQD786507 PZZ786502:PZZ786507 QJV786502:QJV786507 QTR786502:QTR786507 RDN786502:RDN786507 RNJ786502:RNJ786507 RXF786502:RXF786507 SHB786502:SHB786507 SQX786502:SQX786507 TAT786502:TAT786507 TKP786502:TKP786507 TUL786502:TUL786507 UEH786502:UEH786507 UOD786502:UOD786507 UXZ786502:UXZ786507 VHV786502:VHV786507 VRR786502:VRR786507 WBN786502:WBN786507 WLJ786502:WLJ786507 WVF786502:WVF786507 B852038:B852043 IT852038:IT852043 SP852038:SP852043 ACL852038:ACL852043 AMH852038:AMH852043 AWD852038:AWD852043 BFZ852038:BFZ852043 BPV852038:BPV852043 BZR852038:BZR852043 CJN852038:CJN852043 CTJ852038:CTJ852043 DDF852038:DDF852043 DNB852038:DNB852043 DWX852038:DWX852043 EGT852038:EGT852043 EQP852038:EQP852043 FAL852038:FAL852043 FKH852038:FKH852043 FUD852038:FUD852043 GDZ852038:GDZ852043 GNV852038:GNV852043 GXR852038:GXR852043 HHN852038:HHN852043 HRJ852038:HRJ852043 IBF852038:IBF852043 ILB852038:ILB852043 IUX852038:IUX852043 JET852038:JET852043 JOP852038:JOP852043 JYL852038:JYL852043 KIH852038:KIH852043 KSD852038:KSD852043 LBZ852038:LBZ852043 LLV852038:LLV852043 LVR852038:LVR852043 MFN852038:MFN852043 MPJ852038:MPJ852043 MZF852038:MZF852043 NJB852038:NJB852043 NSX852038:NSX852043 OCT852038:OCT852043 OMP852038:OMP852043 OWL852038:OWL852043 PGH852038:PGH852043 PQD852038:PQD852043 PZZ852038:PZZ852043 QJV852038:QJV852043 QTR852038:QTR852043 RDN852038:RDN852043 RNJ852038:RNJ852043 RXF852038:RXF852043 SHB852038:SHB852043 SQX852038:SQX852043 TAT852038:TAT852043 TKP852038:TKP852043 TUL852038:TUL852043 UEH852038:UEH852043 UOD852038:UOD852043 UXZ852038:UXZ852043 VHV852038:VHV852043 VRR852038:VRR852043 WBN852038:WBN852043 WLJ852038:WLJ852043 WVF852038:WVF852043 B917574:B917579 IT917574:IT917579 SP917574:SP917579 ACL917574:ACL917579 AMH917574:AMH917579 AWD917574:AWD917579 BFZ917574:BFZ917579 BPV917574:BPV917579 BZR917574:BZR917579 CJN917574:CJN917579 CTJ917574:CTJ917579 DDF917574:DDF917579 DNB917574:DNB917579 DWX917574:DWX917579 EGT917574:EGT917579 EQP917574:EQP917579 FAL917574:FAL917579 FKH917574:FKH917579 FUD917574:FUD917579 GDZ917574:GDZ917579 GNV917574:GNV917579 GXR917574:GXR917579 HHN917574:HHN917579 HRJ917574:HRJ917579 IBF917574:IBF917579 ILB917574:ILB917579 IUX917574:IUX917579 JET917574:JET917579 JOP917574:JOP917579 JYL917574:JYL917579 KIH917574:KIH917579 KSD917574:KSD917579 LBZ917574:LBZ917579 LLV917574:LLV917579 LVR917574:LVR917579 MFN917574:MFN917579 MPJ917574:MPJ917579 MZF917574:MZF917579 NJB917574:NJB917579 NSX917574:NSX917579 OCT917574:OCT917579 OMP917574:OMP917579 OWL917574:OWL917579 PGH917574:PGH917579 PQD917574:PQD917579 PZZ917574:PZZ917579 QJV917574:QJV917579 QTR917574:QTR917579 RDN917574:RDN917579 RNJ917574:RNJ917579 RXF917574:RXF917579 SHB917574:SHB917579 SQX917574:SQX917579 TAT917574:TAT917579 TKP917574:TKP917579 TUL917574:TUL917579 UEH917574:UEH917579 UOD917574:UOD917579 UXZ917574:UXZ917579 VHV917574:VHV917579 VRR917574:VRR917579 WBN917574:WBN917579 WLJ917574:WLJ917579 WVF917574:WVF917579 B983110:B983115 IT983110:IT983115 SP983110:SP983115 ACL983110:ACL983115 AMH983110:AMH983115 AWD983110:AWD983115 BFZ983110:BFZ983115 BPV983110:BPV983115 BZR983110:BZR983115 CJN983110:CJN983115 CTJ983110:CTJ983115 DDF983110:DDF983115 DNB983110:DNB983115 DWX983110:DWX983115 EGT983110:EGT983115 EQP983110:EQP983115 FAL983110:FAL983115 FKH983110:FKH983115 FUD983110:FUD983115 GDZ983110:GDZ983115 GNV983110:GNV983115 GXR983110:GXR983115 HHN983110:HHN983115 HRJ983110:HRJ983115 IBF983110:IBF983115 ILB983110:ILB983115 IUX983110:IUX983115 JET983110:JET983115 JOP983110:JOP983115 JYL983110:JYL983115 KIH983110:KIH983115 KSD983110:KSD983115 LBZ983110:LBZ983115 LLV983110:LLV983115 LVR983110:LVR983115 MFN983110:MFN983115 MPJ983110:MPJ983115 MZF983110:MZF983115 NJB983110:NJB983115 NSX983110:NSX983115 OCT983110:OCT983115 OMP983110:OMP983115 OWL983110:OWL983115 PGH983110:PGH983115 PQD983110:PQD983115 PZZ983110:PZZ983115 QJV983110:QJV983115 QTR983110:QTR983115 RDN983110:RDN983115 RNJ983110:RNJ983115 RXF983110:RXF983115 SHB983110:SHB983115 SQX983110:SQX983115 TAT983110:TAT983115 TKP983110:TKP983115 TUL983110:TUL983115 UEH983110:UEH983115 UOD983110:UOD983115 UXZ983110:UXZ983115 VHV983110:VHV983115 VRR983110:VRR983115 WBN983110:WBN983115 WLJ983110:WLJ983115 WVF983110:WVF983115 B55:B68 IT55:IT68 SP55:SP68 ACL55:ACL68 AMH55:AMH68 AWD55:AWD68 BFZ55:BFZ68 BPV55:BPV68 BZR55:BZR68 CJN55:CJN68 CTJ55:CTJ68 DDF55:DDF68 DNB55:DNB68 DWX55:DWX68 EGT55:EGT68 EQP55:EQP68 FAL55:FAL68 FKH55:FKH68 FUD55:FUD68 GDZ55:GDZ68 GNV55:GNV68 GXR55:GXR68 HHN55:HHN68 HRJ55:HRJ68 IBF55:IBF68 ILB55:ILB68 IUX55:IUX68 JET55:JET68 JOP55:JOP68 JYL55:JYL68 KIH55:KIH68 KSD55:KSD68 LBZ55:LBZ68 LLV55:LLV68 LVR55:LVR68 MFN55:MFN68 MPJ55:MPJ68 MZF55:MZF68 NJB55:NJB68 NSX55:NSX68 OCT55:OCT68 OMP55:OMP68 OWL55:OWL68 PGH55:PGH68 PQD55:PQD68 PZZ55:PZZ68 QJV55:QJV68 QTR55:QTR68 RDN55:RDN68 RNJ55:RNJ68 RXF55:RXF68 SHB55:SHB68 SQX55:SQX68 TAT55:TAT68 TKP55:TKP68 TUL55:TUL68 UEH55:UEH68 UOD55:UOD68 UXZ55:UXZ68 VHV55:VHV68 VRR55:VRR68 WBN55:WBN68 WLJ55:WLJ68 WVF55:WVF68 B65591:B65604 IT65591:IT65604 SP65591:SP65604 ACL65591:ACL65604 AMH65591:AMH65604 AWD65591:AWD65604 BFZ65591:BFZ65604 BPV65591:BPV65604 BZR65591:BZR65604 CJN65591:CJN65604 CTJ65591:CTJ65604 DDF65591:DDF65604 DNB65591:DNB65604 DWX65591:DWX65604 EGT65591:EGT65604 EQP65591:EQP65604 FAL65591:FAL65604 FKH65591:FKH65604 FUD65591:FUD65604 GDZ65591:GDZ65604 GNV65591:GNV65604 GXR65591:GXR65604 HHN65591:HHN65604 HRJ65591:HRJ65604 IBF65591:IBF65604 ILB65591:ILB65604 IUX65591:IUX65604 JET65591:JET65604 JOP65591:JOP65604 JYL65591:JYL65604 KIH65591:KIH65604 KSD65591:KSD65604 LBZ65591:LBZ65604 LLV65591:LLV65604 LVR65591:LVR65604 MFN65591:MFN65604 MPJ65591:MPJ65604 MZF65591:MZF65604 NJB65591:NJB65604 NSX65591:NSX65604 OCT65591:OCT65604 OMP65591:OMP65604 OWL65591:OWL65604 PGH65591:PGH65604 PQD65591:PQD65604 PZZ65591:PZZ65604 QJV65591:QJV65604 QTR65591:QTR65604 RDN65591:RDN65604 RNJ65591:RNJ65604 RXF65591:RXF65604 SHB65591:SHB65604 SQX65591:SQX65604 TAT65591:TAT65604 TKP65591:TKP65604 TUL65591:TUL65604 UEH65591:UEH65604 UOD65591:UOD65604 UXZ65591:UXZ65604 VHV65591:VHV65604 VRR65591:VRR65604 WBN65591:WBN65604 WLJ65591:WLJ65604 WVF65591:WVF65604 B131127:B131140 IT131127:IT131140 SP131127:SP131140 ACL131127:ACL131140 AMH131127:AMH131140 AWD131127:AWD131140 BFZ131127:BFZ131140 BPV131127:BPV131140 BZR131127:BZR131140 CJN131127:CJN131140 CTJ131127:CTJ131140 DDF131127:DDF131140 DNB131127:DNB131140 DWX131127:DWX131140 EGT131127:EGT131140 EQP131127:EQP131140 FAL131127:FAL131140 FKH131127:FKH131140 FUD131127:FUD131140 GDZ131127:GDZ131140 GNV131127:GNV131140 GXR131127:GXR131140 HHN131127:HHN131140 HRJ131127:HRJ131140 IBF131127:IBF131140 ILB131127:ILB131140 IUX131127:IUX131140 JET131127:JET131140 JOP131127:JOP131140 JYL131127:JYL131140 KIH131127:KIH131140 KSD131127:KSD131140 LBZ131127:LBZ131140 LLV131127:LLV131140 LVR131127:LVR131140 MFN131127:MFN131140 MPJ131127:MPJ131140 MZF131127:MZF131140 NJB131127:NJB131140 NSX131127:NSX131140 OCT131127:OCT131140 OMP131127:OMP131140 OWL131127:OWL131140 PGH131127:PGH131140 PQD131127:PQD131140 PZZ131127:PZZ131140 QJV131127:QJV131140 QTR131127:QTR131140 RDN131127:RDN131140 RNJ131127:RNJ131140 RXF131127:RXF131140 SHB131127:SHB131140 SQX131127:SQX131140 TAT131127:TAT131140 TKP131127:TKP131140 TUL131127:TUL131140 UEH131127:UEH131140 UOD131127:UOD131140 UXZ131127:UXZ131140 VHV131127:VHV131140 VRR131127:VRR131140 WBN131127:WBN131140 WLJ131127:WLJ131140 WVF131127:WVF131140 B196663:B196676 IT196663:IT196676 SP196663:SP196676 ACL196663:ACL196676 AMH196663:AMH196676 AWD196663:AWD196676 BFZ196663:BFZ196676 BPV196663:BPV196676 BZR196663:BZR196676 CJN196663:CJN196676 CTJ196663:CTJ196676 DDF196663:DDF196676 DNB196663:DNB196676 DWX196663:DWX196676 EGT196663:EGT196676 EQP196663:EQP196676 FAL196663:FAL196676 FKH196663:FKH196676 FUD196663:FUD196676 GDZ196663:GDZ196676 GNV196663:GNV196676 GXR196663:GXR196676 HHN196663:HHN196676 HRJ196663:HRJ196676 IBF196663:IBF196676 ILB196663:ILB196676 IUX196663:IUX196676 JET196663:JET196676 JOP196663:JOP196676 JYL196663:JYL196676 KIH196663:KIH196676 KSD196663:KSD196676 LBZ196663:LBZ196676 LLV196663:LLV196676 LVR196663:LVR196676 MFN196663:MFN196676 MPJ196663:MPJ196676 MZF196663:MZF196676 NJB196663:NJB196676 NSX196663:NSX196676 OCT196663:OCT196676 OMP196663:OMP196676 OWL196663:OWL196676 PGH196663:PGH196676 PQD196663:PQD196676 PZZ196663:PZZ196676 QJV196663:QJV196676 QTR196663:QTR196676 RDN196663:RDN196676 RNJ196663:RNJ196676 RXF196663:RXF196676 SHB196663:SHB196676 SQX196663:SQX196676 TAT196663:TAT196676 TKP196663:TKP196676 TUL196663:TUL196676 UEH196663:UEH196676 UOD196663:UOD196676 UXZ196663:UXZ196676 VHV196663:VHV196676 VRR196663:VRR196676 WBN196663:WBN196676 WLJ196663:WLJ196676 WVF196663:WVF196676 B262199:B262212 IT262199:IT262212 SP262199:SP262212 ACL262199:ACL262212 AMH262199:AMH262212 AWD262199:AWD262212 BFZ262199:BFZ262212 BPV262199:BPV262212 BZR262199:BZR262212 CJN262199:CJN262212 CTJ262199:CTJ262212 DDF262199:DDF262212 DNB262199:DNB262212 DWX262199:DWX262212 EGT262199:EGT262212 EQP262199:EQP262212 FAL262199:FAL262212 FKH262199:FKH262212 FUD262199:FUD262212 GDZ262199:GDZ262212 GNV262199:GNV262212 GXR262199:GXR262212 HHN262199:HHN262212 HRJ262199:HRJ262212 IBF262199:IBF262212 ILB262199:ILB262212 IUX262199:IUX262212 JET262199:JET262212 JOP262199:JOP262212 JYL262199:JYL262212 KIH262199:KIH262212 KSD262199:KSD262212 LBZ262199:LBZ262212 LLV262199:LLV262212 LVR262199:LVR262212 MFN262199:MFN262212 MPJ262199:MPJ262212 MZF262199:MZF262212 NJB262199:NJB262212 NSX262199:NSX262212 OCT262199:OCT262212 OMP262199:OMP262212 OWL262199:OWL262212 PGH262199:PGH262212 PQD262199:PQD262212 PZZ262199:PZZ262212 QJV262199:QJV262212 QTR262199:QTR262212 RDN262199:RDN262212 RNJ262199:RNJ262212 RXF262199:RXF262212 SHB262199:SHB262212 SQX262199:SQX262212 TAT262199:TAT262212 TKP262199:TKP262212 TUL262199:TUL262212 UEH262199:UEH262212 UOD262199:UOD262212 UXZ262199:UXZ262212 VHV262199:VHV262212 VRR262199:VRR262212 WBN262199:WBN262212 WLJ262199:WLJ262212 WVF262199:WVF262212 B327735:B327748 IT327735:IT327748 SP327735:SP327748 ACL327735:ACL327748 AMH327735:AMH327748 AWD327735:AWD327748 BFZ327735:BFZ327748 BPV327735:BPV327748 BZR327735:BZR327748 CJN327735:CJN327748 CTJ327735:CTJ327748 DDF327735:DDF327748 DNB327735:DNB327748 DWX327735:DWX327748 EGT327735:EGT327748 EQP327735:EQP327748 FAL327735:FAL327748 FKH327735:FKH327748 FUD327735:FUD327748 GDZ327735:GDZ327748 GNV327735:GNV327748 GXR327735:GXR327748 HHN327735:HHN327748 HRJ327735:HRJ327748 IBF327735:IBF327748 ILB327735:ILB327748 IUX327735:IUX327748 JET327735:JET327748 JOP327735:JOP327748 JYL327735:JYL327748 KIH327735:KIH327748 KSD327735:KSD327748 LBZ327735:LBZ327748 LLV327735:LLV327748 LVR327735:LVR327748 MFN327735:MFN327748 MPJ327735:MPJ327748 MZF327735:MZF327748 NJB327735:NJB327748 NSX327735:NSX327748 OCT327735:OCT327748 OMP327735:OMP327748 OWL327735:OWL327748 PGH327735:PGH327748 PQD327735:PQD327748 PZZ327735:PZZ327748 QJV327735:QJV327748 QTR327735:QTR327748 RDN327735:RDN327748 RNJ327735:RNJ327748 RXF327735:RXF327748 SHB327735:SHB327748 SQX327735:SQX327748 TAT327735:TAT327748 TKP327735:TKP327748 TUL327735:TUL327748 UEH327735:UEH327748 UOD327735:UOD327748 UXZ327735:UXZ327748 VHV327735:VHV327748 VRR327735:VRR327748 WBN327735:WBN327748 WLJ327735:WLJ327748 WVF327735:WVF327748 B393271:B393284 IT393271:IT393284 SP393271:SP393284 ACL393271:ACL393284 AMH393271:AMH393284 AWD393271:AWD393284 BFZ393271:BFZ393284 BPV393271:BPV393284 BZR393271:BZR393284 CJN393271:CJN393284 CTJ393271:CTJ393284 DDF393271:DDF393284 DNB393271:DNB393284 DWX393271:DWX393284 EGT393271:EGT393284 EQP393271:EQP393284 FAL393271:FAL393284 FKH393271:FKH393284 FUD393271:FUD393284 GDZ393271:GDZ393284 GNV393271:GNV393284 GXR393271:GXR393284 HHN393271:HHN393284 HRJ393271:HRJ393284 IBF393271:IBF393284 ILB393271:ILB393284 IUX393271:IUX393284 JET393271:JET393284 JOP393271:JOP393284 JYL393271:JYL393284 KIH393271:KIH393284 KSD393271:KSD393284 LBZ393271:LBZ393284 LLV393271:LLV393284 LVR393271:LVR393284 MFN393271:MFN393284 MPJ393271:MPJ393284 MZF393271:MZF393284 NJB393271:NJB393284 NSX393271:NSX393284 OCT393271:OCT393284 OMP393271:OMP393284 OWL393271:OWL393284 PGH393271:PGH393284 PQD393271:PQD393284 PZZ393271:PZZ393284 QJV393271:QJV393284 QTR393271:QTR393284 RDN393271:RDN393284 RNJ393271:RNJ393284 RXF393271:RXF393284 SHB393271:SHB393284 SQX393271:SQX393284 TAT393271:TAT393284 TKP393271:TKP393284 TUL393271:TUL393284 UEH393271:UEH393284 UOD393271:UOD393284 UXZ393271:UXZ393284 VHV393271:VHV393284 VRR393271:VRR393284 WBN393271:WBN393284 WLJ393271:WLJ393284 WVF393271:WVF393284 B458807:B458820 IT458807:IT458820 SP458807:SP458820 ACL458807:ACL458820 AMH458807:AMH458820 AWD458807:AWD458820 BFZ458807:BFZ458820 BPV458807:BPV458820 BZR458807:BZR458820 CJN458807:CJN458820 CTJ458807:CTJ458820 DDF458807:DDF458820 DNB458807:DNB458820 DWX458807:DWX458820 EGT458807:EGT458820 EQP458807:EQP458820 FAL458807:FAL458820 FKH458807:FKH458820 FUD458807:FUD458820 GDZ458807:GDZ458820 GNV458807:GNV458820 GXR458807:GXR458820 HHN458807:HHN458820 HRJ458807:HRJ458820 IBF458807:IBF458820 ILB458807:ILB458820 IUX458807:IUX458820 JET458807:JET458820 JOP458807:JOP458820 JYL458807:JYL458820 KIH458807:KIH458820 KSD458807:KSD458820 LBZ458807:LBZ458820 LLV458807:LLV458820 LVR458807:LVR458820 MFN458807:MFN458820 MPJ458807:MPJ458820 MZF458807:MZF458820 NJB458807:NJB458820 NSX458807:NSX458820 OCT458807:OCT458820 OMP458807:OMP458820 OWL458807:OWL458820 PGH458807:PGH458820 PQD458807:PQD458820 PZZ458807:PZZ458820 QJV458807:QJV458820 QTR458807:QTR458820 RDN458807:RDN458820 RNJ458807:RNJ458820 RXF458807:RXF458820 SHB458807:SHB458820 SQX458807:SQX458820 TAT458807:TAT458820 TKP458807:TKP458820 TUL458807:TUL458820 UEH458807:UEH458820 UOD458807:UOD458820 UXZ458807:UXZ458820 VHV458807:VHV458820 VRR458807:VRR458820 WBN458807:WBN458820 WLJ458807:WLJ458820 WVF458807:WVF458820 B524343:B524356 IT524343:IT524356 SP524343:SP524356 ACL524343:ACL524356 AMH524343:AMH524356 AWD524343:AWD524356 BFZ524343:BFZ524356 BPV524343:BPV524356 BZR524343:BZR524356 CJN524343:CJN524356 CTJ524343:CTJ524356 DDF524343:DDF524356 DNB524343:DNB524356 DWX524343:DWX524356 EGT524343:EGT524356 EQP524343:EQP524356 FAL524343:FAL524356 FKH524343:FKH524356 FUD524343:FUD524356 GDZ524343:GDZ524356 GNV524343:GNV524356 GXR524343:GXR524356 HHN524343:HHN524356 HRJ524343:HRJ524356 IBF524343:IBF524356 ILB524343:ILB524356 IUX524343:IUX524356 JET524343:JET524356 JOP524343:JOP524356 JYL524343:JYL524356 KIH524343:KIH524356 KSD524343:KSD524356 LBZ524343:LBZ524356 LLV524343:LLV524356 LVR524343:LVR524356 MFN524343:MFN524356 MPJ524343:MPJ524356 MZF524343:MZF524356 NJB524343:NJB524356 NSX524343:NSX524356 OCT524343:OCT524356 OMP524343:OMP524356 OWL524343:OWL524356 PGH524343:PGH524356 PQD524343:PQD524356 PZZ524343:PZZ524356 QJV524343:QJV524356 QTR524343:QTR524356 RDN524343:RDN524356 RNJ524343:RNJ524356 RXF524343:RXF524356 SHB524343:SHB524356 SQX524343:SQX524356 TAT524343:TAT524356 TKP524343:TKP524356 TUL524343:TUL524356 UEH524343:UEH524356 UOD524343:UOD524356 UXZ524343:UXZ524356 VHV524343:VHV524356 VRR524343:VRR524356 WBN524343:WBN524356 WLJ524343:WLJ524356 WVF524343:WVF524356 B589879:B589892 IT589879:IT589892 SP589879:SP589892 ACL589879:ACL589892 AMH589879:AMH589892 AWD589879:AWD589892 BFZ589879:BFZ589892 BPV589879:BPV589892 BZR589879:BZR589892 CJN589879:CJN589892 CTJ589879:CTJ589892 DDF589879:DDF589892 DNB589879:DNB589892 DWX589879:DWX589892 EGT589879:EGT589892 EQP589879:EQP589892 FAL589879:FAL589892 FKH589879:FKH589892 FUD589879:FUD589892 GDZ589879:GDZ589892 GNV589879:GNV589892 GXR589879:GXR589892 HHN589879:HHN589892 HRJ589879:HRJ589892 IBF589879:IBF589892 ILB589879:ILB589892 IUX589879:IUX589892 JET589879:JET589892 JOP589879:JOP589892 JYL589879:JYL589892 KIH589879:KIH589892 KSD589879:KSD589892 LBZ589879:LBZ589892 LLV589879:LLV589892 LVR589879:LVR589892 MFN589879:MFN589892 MPJ589879:MPJ589892 MZF589879:MZF589892 NJB589879:NJB589892 NSX589879:NSX589892 OCT589879:OCT589892 OMP589879:OMP589892 OWL589879:OWL589892 PGH589879:PGH589892 PQD589879:PQD589892 PZZ589879:PZZ589892 QJV589879:QJV589892 QTR589879:QTR589892 RDN589879:RDN589892 RNJ589879:RNJ589892 RXF589879:RXF589892 SHB589879:SHB589892 SQX589879:SQX589892 TAT589879:TAT589892 TKP589879:TKP589892 TUL589879:TUL589892 UEH589879:UEH589892 UOD589879:UOD589892 UXZ589879:UXZ589892 VHV589879:VHV589892 VRR589879:VRR589892 WBN589879:WBN589892 WLJ589879:WLJ589892 WVF589879:WVF589892 B655415:B655428 IT655415:IT655428 SP655415:SP655428 ACL655415:ACL655428 AMH655415:AMH655428 AWD655415:AWD655428 BFZ655415:BFZ655428 BPV655415:BPV655428 BZR655415:BZR655428 CJN655415:CJN655428 CTJ655415:CTJ655428 DDF655415:DDF655428 DNB655415:DNB655428 DWX655415:DWX655428 EGT655415:EGT655428 EQP655415:EQP655428 FAL655415:FAL655428 FKH655415:FKH655428 FUD655415:FUD655428 GDZ655415:GDZ655428 GNV655415:GNV655428 GXR655415:GXR655428 HHN655415:HHN655428 HRJ655415:HRJ655428 IBF655415:IBF655428 ILB655415:ILB655428 IUX655415:IUX655428 JET655415:JET655428 JOP655415:JOP655428 JYL655415:JYL655428 KIH655415:KIH655428 KSD655415:KSD655428 LBZ655415:LBZ655428 LLV655415:LLV655428 LVR655415:LVR655428 MFN655415:MFN655428 MPJ655415:MPJ655428 MZF655415:MZF655428 NJB655415:NJB655428 NSX655415:NSX655428 OCT655415:OCT655428 OMP655415:OMP655428 OWL655415:OWL655428 PGH655415:PGH655428 PQD655415:PQD655428 PZZ655415:PZZ655428 QJV655415:QJV655428 QTR655415:QTR655428 RDN655415:RDN655428 RNJ655415:RNJ655428 RXF655415:RXF655428 SHB655415:SHB655428 SQX655415:SQX655428 TAT655415:TAT655428 TKP655415:TKP655428 TUL655415:TUL655428 UEH655415:UEH655428 UOD655415:UOD655428 UXZ655415:UXZ655428 VHV655415:VHV655428 VRR655415:VRR655428 WBN655415:WBN655428 WLJ655415:WLJ655428 WVF655415:WVF655428 B720951:B720964 IT720951:IT720964 SP720951:SP720964 ACL720951:ACL720964 AMH720951:AMH720964 AWD720951:AWD720964 BFZ720951:BFZ720964 BPV720951:BPV720964 BZR720951:BZR720964 CJN720951:CJN720964 CTJ720951:CTJ720964 DDF720951:DDF720964 DNB720951:DNB720964 DWX720951:DWX720964 EGT720951:EGT720964 EQP720951:EQP720964 FAL720951:FAL720964 FKH720951:FKH720964 FUD720951:FUD720964 GDZ720951:GDZ720964 GNV720951:GNV720964 GXR720951:GXR720964 HHN720951:HHN720964 HRJ720951:HRJ720964 IBF720951:IBF720964 ILB720951:ILB720964 IUX720951:IUX720964 JET720951:JET720964 JOP720951:JOP720964 JYL720951:JYL720964 KIH720951:KIH720964 KSD720951:KSD720964 LBZ720951:LBZ720964 LLV720951:LLV720964 LVR720951:LVR720964 MFN720951:MFN720964 MPJ720951:MPJ720964 MZF720951:MZF720964 NJB720951:NJB720964 NSX720951:NSX720964 OCT720951:OCT720964 OMP720951:OMP720964 OWL720951:OWL720964 PGH720951:PGH720964 PQD720951:PQD720964 PZZ720951:PZZ720964 QJV720951:QJV720964 QTR720951:QTR720964 RDN720951:RDN720964 RNJ720951:RNJ720964 RXF720951:RXF720964 SHB720951:SHB720964 SQX720951:SQX720964 TAT720951:TAT720964 TKP720951:TKP720964 TUL720951:TUL720964 UEH720951:UEH720964 UOD720951:UOD720964 UXZ720951:UXZ720964 VHV720951:VHV720964 VRR720951:VRR720964 WBN720951:WBN720964 WLJ720951:WLJ720964 WVF720951:WVF720964 B786487:B786500 IT786487:IT786500 SP786487:SP786500 ACL786487:ACL786500 AMH786487:AMH786500 AWD786487:AWD786500 BFZ786487:BFZ786500 BPV786487:BPV786500 BZR786487:BZR786500 CJN786487:CJN786500 CTJ786487:CTJ786500 DDF786487:DDF786500 DNB786487:DNB786500 DWX786487:DWX786500 EGT786487:EGT786500 EQP786487:EQP786500 FAL786487:FAL786500 FKH786487:FKH786500 FUD786487:FUD786500 GDZ786487:GDZ786500 GNV786487:GNV786500 GXR786487:GXR786500 HHN786487:HHN786500 HRJ786487:HRJ786500 IBF786487:IBF786500 ILB786487:ILB786500 IUX786487:IUX786500 JET786487:JET786500 JOP786487:JOP786500 JYL786487:JYL786500 KIH786487:KIH786500 KSD786487:KSD786500 LBZ786487:LBZ786500 LLV786487:LLV786500 LVR786487:LVR786500 MFN786487:MFN786500 MPJ786487:MPJ786500 MZF786487:MZF786500 NJB786487:NJB786500 NSX786487:NSX786500 OCT786487:OCT786500 OMP786487:OMP786500 OWL786487:OWL786500 PGH786487:PGH786500 PQD786487:PQD786500 PZZ786487:PZZ786500 QJV786487:QJV786500 QTR786487:QTR786500 RDN786487:RDN786500 RNJ786487:RNJ786500 RXF786487:RXF786500 SHB786487:SHB786500 SQX786487:SQX786500 TAT786487:TAT786500 TKP786487:TKP786500 TUL786487:TUL786500 UEH786487:UEH786500 UOD786487:UOD786500 UXZ786487:UXZ786500 VHV786487:VHV786500 VRR786487:VRR786500 WBN786487:WBN786500 WLJ786487:WLJ786500 WVF786487:WVF786500 B852023:B852036 IT852023:IT852036 SP852023:SP852036 ACL852023:ACL852036 AMH852023:AMH852036 AWD852023:AWD852036 BFZ852023:BFZ852036 BPV852023:BPV852036 BZR852023:BZR852036 CJN852023:CJN852036 CTJ852023:CTJ852036 DDF852023:DDF852036 DNB852023:DNB852036 DWX852023:DWX852036 EGT852023:EGT852036 EQP852023:EQP852036 FAL852023:FAL852036 FKH852023:FKH852036 FUD852023:FUD852036 GDZ852023:GDZ852036 GNV852023:GNV852036 GXR852023:GXR852036 HHN852023:HHN852036 HRJ852023:HRJ852036 IBF852023:IBF852036 ILB852023:ILB852036 IUX852023:IUX852036 JET852023:JET852036 JOP852023:JOP852036 JYL852023:JYL852036 KIH852023:KIH852036 KSD852023:KSD852036 LBZ852023:LBZ852036 LLV852023:LLV852036 LVR852023:LVR852036 MFN852023:MFN852036 MPJ852023:MPJ852036 MZF852023:MZF852036 NJB852023:NJB852036 NSX852023:NSX852036 OCT852023:OCT852036 OMP852023:OMP852036 OWL852023:OWL852036 PGH852023:PGH852036 PQD852023:PQD852036 PZZ852023:PZZ852036 QJV852023:QJV852036 QTR852023:QTR852036 RDN852023:RDN852036 RNJ852023:RNJ852036 RXF852023:RXF852036 SHB852023:SHB852036 SQX852023:SQX852036 TAT852023:TAT852036 TKP852023:TKP852036 TUL852023:TUL852036 UEH852023:UEH852036 UOD852023:UOD852036 UXZ852023:UXZ852036 VHV852023:VHV852036 VRR852023:VRR852036 WBN852023:WBN852036 WLJ852023:WLJ852036 WVF852023:WVF852036 B917559:B917572 IT917559:IT917572 SP917559:SP917572 ACL917559:ACL917572 AMH917559:AMH917572 AWD917559:AWD917572 BFZ917559:BFZ917572 BPV917559:BPV917572 BZR917559:BZR917572 CJN917559:CJN917572 CTJ917559:CTJ917572 DDF917559:DDF917572 DNB917559:DNB917572 DWX917559:DWX917572 EGT917559:EGT917572 EQP917559:EQP917572 FAL917559:FAL917572 FKH917559:FKH917572 FUD917559:FUD917572 GDZ917559:GDZ917572 GNV917559:GNV917572 GXR917559:GXR917572 HHN917559:HHN917572 HRJ917559:HRJ917572 IBF917559:IBF917572 ILB917559:ILB917572 IUX917559:IUX917572 JET917559:JET917572 JOP917559:JOP917572 JYL917559:JYL917572 KIH917559:KIH917572 KSD917559:KSD917572 LBZ917559:LBZ917572 LLV917559:LLV917572 LVR917559:LVR917572 MFN917559:MFN917572 MPJ917559:MPJ917572 MZF917559:MZF917572 NJB917559:NJB917572 NSX917559:NSX917572 OCT917559:OCT917572 OMP917559:OMP917572 OWL917559:OWL917572 PGH917559:PGH917572 PQD917559:PQD917572 PZZ917559:PZZ917572 QJV917559:QJV917572 QTR917559:QTR917572 RDN917559:RDN917572 RNJ917559:RNJ917572 RXF917559:RXF917572 SHB917559:SHB917572 SQX917559:SQX917572 TAT917559:TAT917572 TKP917559:TKP917572 TUL917559:TUL917572 UEH917559:UEH917572 UOD917559:UOD917572 UXZ917559:UXZ917572 VHV917559:VHV917572 VRR917559:VRR917572 WBN917559:WBN917572 WLJ917559:WLJ917572 WVF917559:WVF917572 B983095:B983108 IT983095:IT983108 SP983095:SP983108 ACL983095:ACL983108 AMH983095:AMH983108 AWD983095:AWD983108 BFZ983095:BFZ983108 BPV983095:BPV983108 BZR983095:BZR983108 CJN983095:CJN983108 CTJ983095:CTJ983108 DDF983095:DDF983108 DNB983095:DNB983108 DWX983095:DWX983108 EGT983095:EGT983108 EQP983095:EQP983108 FAL983095:FAL983108 FKH983095:FKH983108 FUD983095:FUD983108 GDZ983095:GDZ983108 GNV983095:GNV983108 GXR983095:GXR983108 HHN983095:HHN983108 HRJ983095:HRJ983108 IBF983095:IBF983108 ILB983095:ILB983108 IUX983095:IUX983108 JET983095:JET983108 JOP983095:JOP983108 JYL983095:JYL983108 KIH983095:KIH983108 KSD983095:KSD983108 LBZ983095:LBZ983108 LLV983095:LLV983108 LVR983095:LVR983108 MFN983095:MFN983108 MPJ983095:MPJ983108 MZF983095:MZF983108 NJB983095:NJB983108 NSX983095:NSX983108 OCT983095:OCT983108 OMP983095:OMP983108 OWL983095:OWL983108 PGH983095:PGH983108 PQD983095:PQD983108 PZZ983095:PZZ983108 QJV983095:QJV983108 QTR983095:QTR983108 RDN983095:RDN983108 RNJ983095:RNJ983108 RXF983095:RXF983108 SHB983095:SHB983108 SQX983095:SQX983108 TAT983095:TAT983108 TKP983095:TKP983108 TUL983095:TUL983108 UEH983095:UEH983108 UOD983095:UOD983108 UXZ983095:UXZ983108 VHV983095:VHV983108 VRR983095:VRR983108 WBN983095:WBN983108 WLJ983095:WLJ983108 WVF983095:WVF983108 B88:B98 IT88:IT98 SP88:SP98 ACL88:ACL98 AMH88:AMH98 AWD88:AWD98 BFZ88:BFZ98 BPV88:BPV98 BZR88:BZR98 CJN88:CJN98 CTJ88:CTJ98 DDF88:DDF98 DNB88:DNB98 DWX88:DWX98 EGT88:EGT98 EQP88:EQP98 FAL88:FAL98 FKH88:FKH98 FUD88:FUD98 GDZ88:GDZ98 GNV88:GNV98 GXR88:GXR98 HHN88:HHN98 HRJ88:HRJ98 IBF88:IBF98 ILB88:ILB98 IUX88:IUX98 JET88:JET98 JOP88:JOP98 JYL88:JYL98 KIH88:KIH98 KSD88:KSD98 LBZ88:LBZ98 LLV88:LLV98 LVR88:LVR98 MFN88:MFN98 MPJ88:MPJ98 MZF88:MZF98 NJB88:NJB98 NSX88:NSX98 OCT88:OCT98 OMP88:OMP98 OWL88:OWL98 PGH88:PGH98 PQD88:PQD98 PZZ88:PZZ98 QJV88:QJV98 QTR88:QTR98 RDN88:RDN98 RNJ88:RNJ98 RXF88:RXF98 SHB88:SHB98 SQX88:SQX98 TAT88:TAT98 TKP88:TKP98 TUL88:TUL98 UEH88:UEH98 UOD88:UOD98 UXZ88:UXZ98 VHV88:VHV98 VRR88:VRR98 WBN88:WBN98 WLJ88:WLJ98 WVF88:WVF98 B65624:B65634 IT65624:IT65634 SP65624:SP65634 ACL65624:ACL65634 AMH65624:AMH65634 AWD65624:AWD65634 BFZ65624:BFZ65634 BPV65624:BPV65634 BZR65624:BZR65634 CJN65624:CJN65634 CTJ65624:CTJ65634 DDF65624:DDF65634 DNB65624:DNB65634 DWX65624:DWX65634 EGT65624:EGT65634 EQP65624:EQP65634 FAL65624:FAL65634 FKH65624:FKH65634 FUD65624:FUD65634 GDZ65624:GDZ65634 GNV65624:GNV65634 GXR65624:GXR65634 HHN65624:HHN65634 HRJ65624:HRJ65634 IBF65624:IBF65634 ILB65624:ILB65634 IUX65624:IUX65634 JET65624:JET65634 JOP65624:JOP65634 JYL65624:JYL65634 KIH65624:KIH65634 KSD65624:KSD65634 LBZ65624:LBZ65634 LLV65624:LLV65634 LVR65624:LVR65634 MFN65624:MFN65634 MPJ65624:MPJ65634 MZF65624:MZF65634 NJB65624:NJB65634 NSX65624:NSX65634 OCT65624:OCT65634 OMP65624:OMP65634 OWL65624:OWL65634 PGH65624:PGH65634 PQD65624:PQD65634 PZZ65624:PZZ65634 QJV65624:QJV65634 QTR65624:QTR65634 RDN65624:RDN65634 RNJ65624:RNJ65634 RXF65624:RXF65634 SHB65624:SHB65634 SQX65624:SQX65634 TAT65624:TAT65634 TKP65624:TKP65634 TUL65624:TUL65634 UEH65624:UEH65634 UOD65624:UOD65634 UXZ65624:UXZ65634 VHV65624:VHV65634 VRR65624:VRR65634 WBN65624:WBN65634 WLJ65624:WLJ65634 WVF65624:WVF65634 B131160:B131170 IT131160:IT131170 SP131160:SP131170 ACL131160:ACL131170 AMH131160:AMH131170 AWD131160:AWD131170 BFZ131160:BFZ131170 BPV131160:BPV131170 BZR131160:BZR131170 CJN131160:CJN131170 CTJ131160:CTJ131170 DDF131160:DDF131170 DNB131160:DNB131170 DWX131160:DWX131170 EGT131160:EGT131170 EQP131160:EQP131170 FAL131160:FAL131170 FKH131160:FKH131170 FUD131160:FUD131170 GDZ131160:GDZ131170 GNV131160:GNV131170 GXR131160:GXR131170 HHN131160:HHN131170 HRJ131160:HRJ131170 IBF131160:IBF131170 ILB131160:ILB131170 IUX131160:IUX131170 JET131160:JET131170 JOP131160:JOP131170 JYL131160:JYL131170 KIH131160:KIH131170 KSD131160:KSD131170 LBZ131160:LBZ131170 LLV131160:LLV131170 LVR131160:LVR131170 MFN131160:MFN131170 MPJ131160:MPJ131170 MZF131160:MZF131170 NJB131160:NJB131170 NSX131160:NSX131170 OCT131160:OCT131170 OMP131160:OMP131170 OWL131160:OWL131170 PGH131160:PGH131170 PQD131160:PQD131170 PZZ131160:PZZ131170 QJV131160:QJV131170 QTR131160:QTR131170 RDN131160:RDN131170 RNJ131160:RNJ131170 RXF131160:RXF131170 SHB131160:SHB131170 SQX131160:SQX131170 TAT131160:TAT131170 TKP131160:TKP131170 TUL131160:TUL131170 UEH131160:UEH131170 UOD131160:UOD131170 UXZ131160:UXZ131170 VHV131160:VHV131170 VRR131160:VRR131170 WBN131160:WBN131170 WLJ131160:WLJ131170 WVF131160:WVF131170 B196696:B196706 IT196696:IT196706 SP196696:SP196706 ACL196696:ACL196706 AMH196696:AMH196706 AWD196696:AWD196706 BFZ196696:BFZ196706 BPV196696:BPV196706 BZR196696:BZR196706 CJN196696:CJN196706 CTJ196696:CTJ196706 DDF196696:DDF196706 DNB196696:DNB196706 DWX196696:DWX196706 EGT196696:EGT196706 EQP196696:EQP196706 FAL196696:FAL196706 FKH196696:FKH196706 FUD196696:FUD196706 GDZ196696:GDZ196706 GNV196696:GNV196706 GXR196696:GXR196706 HHN196696:HHN196706 HRJ196696:HRJ196706 IBF196696:IBF196706 ILB196696:ILB196706 IUX196696:IUX196706 JET196696:JET196706 JOP196696:JOP196706 JYL196696:JYL196706 KIH196696:KIH196706 KSD196696:KSD196706 LBZ196696:LBZ196706 LLV196696:LLV196706 LVR196696:LVR196706 MFN196696:MFN196706 MPJ196696:MPJ196706 MZF196696:MZF196706 NJB196696:NJB196706 NSX196696:NSX196706 OCT196696:OCT196706 OMP196696:OMP196706 OWL196696:OWL196706 PGH196696:PGH196706 PQD196696:PQD196706 PZZ196696:PZZ196706 QJV196696:QJV196706 QTR196696:QTR196706 RDN196696:RDN196706 RNJ196696:RNJ196706 RXF196696:RXF196706 SHB196696:SHB196706 SQX196696:SQX196706 TAT196696:TAT196706 TKP196696:TKP196706 TUL196696:TUL196706 UEH196696:UEH196706 UOD196696:UOD196706 UXZ196696:UXZ196706 VHV196696:VHV196706 VRR196696:VRR196706 WBN196696:WBN196706 WLJ196696:WLJ196706 WVF196696:WVF196706 B262232:B262242 IT262232:IT262242 SP262232:SP262242 ACL262232:ACL262242 AMH262232:AMH262242 AWD262232:AWD262242 BFZ262232:BFZ262242 BPV262232:BPV262242 BZR262232:BZR262242 CJN262232:CJN262242 CTJ262232:CTJ262242 DDF262232:DDF262242 DNB262232:DNB262242 DWX262232:DWX262242 EGT262232:EGT262242 EQP262232:EQP262242 FAL262232:FAL262242 FKH262232:FKH262242 FUD262232:FUD262242 GDZ262232:GDZ262242 GNV262232:GNV262242 GXR262232:GXR262242 HHN262232:HHN262242 HRJ262232:HRJ262242 IBF262232:IBF262242 ILB262232:ILB262242 IUX262232:IUX262242 JET262232:JET262242 JOP262232:JOP262242 JYL262232:JYL262242 KIH262232:KIH262242 KSD262232:KSD262242 LBZ262232:LBZ262242 LLV262232:LLV262242 LVR262232:LVR262242 MFN262232:MFN262242 MPJ262232:MPJ262242 MZF262232:MZF262242 NJB262232:NJB262242 NSX262232:NSX262242 OCT262232:OCT262242 OMP262232:OMP262242 OWL262232:OWL262242 PGH262232:PGH262242 PQD262232:PQD262242 PZZ262232:PZZ262242 QJV262232:QJV262242 QTR262232:QTR262242 RDN262232:RDN262242 RNJ262232:RNJ262242 RXF262232:RXF262242 SHB262232:SHB262242 SQX262232:SQX262242 TAT262232:TAT262242 TKP262232:TKP262242 TUL262232:TUL262242 UEH262232:UEH262242 UOD262232:UOD262242 UXZ262232:UXZ262242 VHV262232:VHV262242 VRR262232:VRR262242 WBN262232:WBN262242 WLJ262232:WLJ262242 WVF262232:WVF262242 B327768:B327778 IT327768:IT327778 SP327768:SP327778 ACL327768:ACL327778 AMH327768:AMH327778 AWD327768:AWD327778 BFZ327768:BFZ327778 BPV327768:BPV327778 BZR327768:BZR327778 CJN327768:CJN327778 CTJ327768:CTJ327778 DDF327768:DDF327778 DNB327768:DNB327778 DWX327768:DWX327778 EGT327768:EGT327778 EQP327768:EQP327778 FAL327768:FAL327778 FKH327768:FKH327778 FUD327768:FUD327778 GDZ327768:GDZ327778 GNV327768:GNV327778 GXR327768:GXR327778 HHN327768:HHN327778 HRJ327768:HRJ327778 IBF327768:IBF327778 ILB327768:ILB327778 IUX327768:IUX327778 JET327768:JET327778 JOP327768:JOP327778 JYL327768:JYL327778 KIH327768:KIH327778 KSD327768:KSD327778 LBZ327768:LBZ327778 LLV327768:LLV327778 LVR327768:LVR327778 MFN327768:MFN327778 MPJ327768:MPJ327778 MZF327768:MZF327778 NJB327768:NJB327778 NSX327768:NSX327778 OCT327768:OCT327778 OMP327768:OMP327778 OWL327768:OWL327778 PGH327768:PGH327778 PQD327768:PQD327778 PZZ327768:PZZ327778 QJV327768:QJV327778 QTR327768:QTR327778 RDN327768:RDN327778 RNJ327768:RNJ327778 RXF327768:RXF327778 SHB327768:SHB327778 SQX327768:SQX327778 TAT327768:TAT327778 TKP327768:TKP327778 TUL327768:TUL327778 UEH327768:UEH327778 UOD327768:UOD327778 UXZ327768:UXZ327778 VHV327768:VHV327778 VRR327768:VRR327778 WBN327768:WBN327778 WLJ327768:WLJ327778 WVF327768:WVF327778 B393304:B393314 IT393304:IT393314 SP393304:SP393314 ACL393304:ACL393314 AMH393304:AMH393314 AWD393304:AWD393314 BFZ393304:BFZ393314 BPV393304:BPV393314 BZR393304:BZR393314 CJN393304:CJN393314 CTJ393304:CTJ393314 DDF393304:DDF393314 DNB393304:DNB393314 DWX393304:DWX393314 EGT393304:EGT393314 EQP393304:EQP393314 FAL393304:FAL393314 FKH393304:FKH393314 FUD393304:FUD393314 GDZ393304:GDZ393314 GNV393304:GNV393314 GXR393304:GXR393314 HHN393304:HHN393314 HRJ393304:HRJ393314 IBF393304:IBF393314 ILB393304:ILB393314 IUX393304:IUX393314 JET393304:JET393314 JOP393304:JOP393314 JYL393304:JYL393314 KIH393304:KIH393314 KSD393304:KSD393314 LBZ393304:LBZ393314 LLV393304:LLV393314 LVR393304:LVR393314 MFN393304:MFN393314 MPJ393304:MPJ393314 MZF393304:MZF393314 NJB393304:NJB393314 NSX393304:NSX393314 OCT393304:OCT393314 OMP393304:OMP393314 OWL393304:OWL393314 PGH393304:PGH393314 PQD393304:PQD393314 PZZ393304:PZZ393314 QJV393304:QJV393314 QTR393304:QTR393314 RDN393304:RDN393314 RNJ393304:RNJ393314 RXF393304:RXF393314 SHB393304:SHB393314 SQX393304:SQX393314 TAT393304:TAT393314 TKP393304:TKP393314 TUL393304:TUL393314 UEH393304:UEH393314 UOD393304:UOD393314 UXZ393304:UXZ393314 VHV393304:VHV393314 VRR393304:VRR393314 WBN393304:WBN393314 WLJ393304:WLJ393314 WVF393304:WVF393314 B458840:B458850 IT458840:IT458850 SP458840:SP458850 ACL458840:ACL458850 AMH458840:AMH458850 AWD458840:AWD458850 BFZ458840:BFZ458850 BPV458840:BPV458850 BZR458840:BZR458850 CJN458840:CJN458850 CTJ458840:CTJ458850 DDF458840:DDF458850 DNB458840:DNB458850 DWX458840:DWX458850 EGT458840:EGT458850 EQP458840:EQP458850 FAL458840:FAL458850 FKH458840:FKH458850 FUD458840:FUD458850 GDZ458840:GDZ458850 GNV458840:GNV458850 GXR458840:GXR458850 HHN458840:HHN458850 HRJ458840:HRJ458850 IBF458840:IBF458850 ILB458840:ILB458850 IUX458840:IUX458850 JET458840:JET458850 JOP458840:JOP458850 JYL458840:JYL458850 KIH458840:KIH458850 KSD458840:KSD458850 LBZ458840:LBZ458850 LLV458840:LLV458850 LVR458840:LVR458850 MFN458840:MFN458850 MPJ458840:MPJ458850 MZF458840:MZF458850 NJB458840:NJB458850 NSX458840:NSX458850 OCT458840:OCT458850 OMP458840:OMP458850 OWL458840:OWL458850 PGH458840:PGH458850 PQD458840:PQD458850 PZZ458840:PZZ458850 QJV458840:QJV458850 QTR458840:QTR458850 RDN458840:RDN458850 RNJ458840:RNJ458850 RXF458840:RXF458850 SHB458840:SHB458850 SQX458840:SQX458850 TAT458840:TAT458850 TKP458840:TKP458850 TUL458840:TUL458850 UEH458840:UEH458850 UOD458840:UOD458850 UXZ458840:UXZ458850 VHV458840:VHV458850 VRR458840:VRR458850 WBN458840:WBN458850 WLJ458840:WLJ458850 WVF458840:WVF458850 B524376:B524386 IT524376:IT524386 SP524376:SP524386 ACL524376:ACL524386 AMH524376:AMH524386 AWD524376:AWD524386 BFZ524376:BFZ524386 BPV524376:BPV524386 BZR524376:BZR524386 CJN524376:CJN524386 CTJ524376:CTJ524386 DDF524376:DDF524386 DNB524376:DNB524386 DWX524376:DWX524386 EGT524376:EGT524386 EQP524376:EQP524386 FAL524376:FAL524386 FKH524376:FKH524386 FUD524376:FUD524386 GDZ524376:GDZ524386 GNV524376:GNV524386 GXR524376:GXR524386 HHN524376:HHN524386 HRJ524376:HRJ524386 IBF524376:IBF524386 ILB524376:ILB524386 IUX524376:IUX524386 JET524376:JET524386 JOP524376:JOP524386 JYL524376:JYL524386 KIH524376:KIH524386 KSD524376:KSD524386 LBZ524376:LBZ524386 LLV524376:LLV524386 LVR524376:LVR524386 MFN524376:MFN524386 MPJ524376:MPJ524386 MZF524376:MZF524386 NJB524376:NJB524386 NSX524376:NSX524386 OCT524376:OCT524386 OMP524376:OMP524386 OWL524376:OWL524386 PGH524376:PGH524386 PQD524376:PQD524386 PZZ524376:PZZ524386 QJV524376:QJV524386 QTR524376:QTR524386 RDN524376:RDN524386 RNJ524376:RNJ524386 RXF524376:RXF524386 SHB524376:SHB524386 SQX524376:SQX524386 TAT524376:TAT524386 TKP524376:TKP524386 TUL524376:TUL524386 UEH524376:UEH524386 UOD524376:UOD524386 UXZ524376:UXZ524386 VHV524376:VHV524386 VRR524376:VRR524386 WBN524376:WBN524386 WLJ524376:WLJ524386 WVF524376:WVF524386 B589912:B589922 IT589912:IT589922 SP589912:SP589922 ACL589912:ACL589922 AMH589912:AMH589922 AWD589912:AWD589922 BFZ589912:BFZ589922 BPV589912:BPV589922 BZR589912:BZR589922 CJN589912:CJN589922 CTJ589912:CTJ589922 DDF589912:DDF589922 DNB589912:DNB589922 DWX589912:DWX589922 EGT589912:EGT589922 EQP589912:EQP589922 FAL589912:FAL589922 FKH589912:FKH589922 FUD589912:FUD589922 GDZ589912:GDZ589922 GNV589912:GNV589922 GXR589912:GXR589922 HHN589912:HHN589922 HRJ589912:HRJ589922 IBF589912:IBF589922 ILB589912:ILB589922 IUX589912:IUX589922 JET589912:JET589922 JOP589912:JOP589922 JYL589912:JYL589922 KIH589912:KIH589922 KSD589912:KSD589922 LBZ589912:LBZ589922 LLV589912:LLV589922 LVR589912:LVR589922 MFN589912:MFN589922 MPJ589912:MPJ589922 MZF589912:MZF589922 NJB589912:NJB589922 NSX589912:NSX589922 OCT589912:OCT589922 OMP589912:OMP589922 OWL589912:OWL589922 PGH589912:PGH589922 PQD589912:PQD589922 PZZ589912:PZZ589922 QJV589912:QJV589922 QTR589912:QTR589922 RDN589912:RDN589922 RNJ589912:RNJ589922 RXF589912:RXF589922 SHB589912:SHB589922 SQX589912:SQX589922 TAT589912:TAT589922 TKP589912:TKP589922 TUL589912:TUL589922 UEH589912:UEH589922 UOD589912:UOD589922 UXZ589912:UXZ589922 VHV589912:VHV589922 VRR589912:VRR589922 WBN589912:WBN589922 WLJ589912:WLJ589922 WVF589912:WVF589922 B655448:B655458 IT655448:IT655458 SP655448:SP655458 ACL655448:ACL655458 AMH655448:AMH655458 AWD655448:AWD655458 BFZ655448:BFZ655458 BPV655448:BPV655458 BZR655448:BZR655458 CJN655448:CJN655458 CTJ655448:CTJ655458 DDF655448:DDF655458 DNB655448:DNB655458 DWX655448:DWX655458 EGT655448:EGT655458 EQP655448:EQP655458 FAL655448:FAL655458 FKH655448:FKH655458 FUD655448:FUD655458 GDZ655448:GDZ655458 GNV655448:GNV655458 GXR655448:GXR655458 HHN655448:HHN655458 HRJ655448:HRJ655458 IBF655448:IBF655458 ILB655448:ILB655458 IUX655448:IUX655458 JET655448:JET655458 JOP655448:JOP655458 JYL655448:JYL655458 KIH655448:KIH655458 KSD655448:KSD655458 LBZ655448:LBZ655458 LLV655448:LLV655458 LVR655448:LVR655458 MFN655448:MFN655458 MPJ655448:MPJ655458 MZF655448:MZF655458 NJB655448:NJB655458 NSX655448:NSX655458 OCT655448:OCT655458 OMP655448:OMP655458 OWL655448:OWL655458 PGH655448:PGH655458 PQD655448:PQD655458 PZZ655448:PZZ655458 QJV655448:QJV655458 QTR655448:QTR655458 RDN655448:RDN655458 RNJ655448:RNJ655458 RXF655448:RXF655458 SHB655448:SHB655458 SQX655448:SQX655458 TAT655448:TAT655458 TKP655448:TKP655458 TUL655448:TUL655458 UEH655448:UEH655458 UOD655448:UOD655458 UXZ655448:UXZ655458 VHV655448:VHV655458 VRR655448:VRR655458 WBN655448:WBN655458 WLJ655448:WLJ655458 WVF655448:WVF655458 B720984:B720994 IT720984:IT720994 SP720984:SP720994 ACL720984:ACL720994 AMH720984:AMH720994 AWD720984:AWD720994 BFZ720984:BFZ720994 BPV720984:BPV720994 BZR720984:BZR720994 CJN720984:CJN720994 CTJ720984:CTJ720994 DDF720984:DDF720994 DNB720984:DNB720994 DWX720984:DWX720994 EGT720984:EGT720994 EQP720984:EQP720994 FAL720984:FAL720994 FKH720984:FKH720994 FUD720984:FUD720994 GDZ720984:GDZ720994 GNV720984:GNV720994 GXR720984:GXR720994 HHN720984:HHN720994 HRJ720984:HRJ720994 IBF720984:IBF720994 ILB720984:ILB720994 IUX720984:IUX720994 JET720984:JET720994 JOP720984:JOP720994 JYL720984:JYL720994 KIH720984:KIH720994 KSD720984:KSD720994 LBZ720984:LBZ720994 LLV720984:LLV720994 LVR720984:LVR720994 MFN720984:MFN720994 MPJ720984:MPJ720994 MZF720984:MZF720994 NJB720984:NJB720994 NSX720984:NSX720994 OCT720984:OCT720994 OMP720984:OMP720994 OWL720984:OWL720994 PGH720984:PGH720994 PQD720984:PQD720994 PZZ720984:PZZ720994 QJV720984:QJV720994 QTR720984:QTR720994 RDN720984:RDN720994 RNJ720984:RNJ720994 RXF720984:RXF720994 SHB720984:SHB720994 SQX720984:SQX720994 TAT720984:TAT720994 TKP720984:TKP720994 TUL720984:TUL720994 UEH720984:UEH720994 UOD720984:UOD720994 UXZ720984:UXZ720994 VHV720984:VHV720994 VRR720984:VRR720994 WBN720984:WBN720994 WLJ720984:WLJ720994 WVF720984:WVF720994 B786520:B786530 IT786520:IT786530 SP786520:SP786530 ACL786520:ACL786530 AMH786520:AMH786530 AWD786520:AWD786530 BFZ786520:BFZ786530 BPV786520:BPV786530 BZR786520:BZR786530 CJN786520:CJN786530 CTJ786520:CTJ786530 DDF786520:DDF786530 DNB786520:DNB786530 DWX786520:DWX786530 EGT786520:EGT786530 EQP786520:EQP786530 FAL786520:FAL786530 FKH786520:FKH786530 FUD786520:FUD786530 GDZ786520:GDZ786530 GNV786520:GNV786530 GXR786520:GXR786530 HHN786520:HHN786530 HRJ786520:HRJ786530 IBF786520:IBF786530 ILB786520:ILB786530 IUX786520:IUX786530 JET786520:JET786530 JOP786520:JOP786530 JYL786520:JYL786530 KIH786520:KIH786530 KSD786520:KSD786530 LBZ786520:LBZ786530 LLV786520:LLV786530 LVR786520:LVR786530 MFN786520:MFN786530 MPJ786520:MPJ786530 MZF786520:MZF786530 NJB786520:NJB786530 NSX786520:NSX786530 OCT786520:OCT786530 OMP786520:OMP786530 OWL786520:OWL786530 PGH786520:PGH786530 PQD786520:PQD786530 PZZ786520:PZZ786530 QJV786520:QJV786530 QTR786520:QTR786530 RDN786520:RDN786530 RNJ786520:RNJ786530 RXF786520:RXF786530 SHB786520:SHB786530 SQX786520:SQX786530 TAT786520:TAT786530 TKP786520:TKP786530 TUL786520:TUL786530 UEH786520:UEH786530 UOD786520:UOD786530 UXZ786520:UXZ786530 VHV786520:VHV786530 VRR786520:VRR786530 WBN786520:WBN786530 WLJ786520:WLJ786530 WVF786520:WVF786530 B852056:B852066 IT852056:IT852066 SP852056:SP852066 ACL852056:ACL852066 AMH852056:AMH852066 AWD852056:AWD852066 BFZ852056:BFZ852066 BPV852056:BPV852066 BZR852056:BZR852066 CJN852056:CJN852066 CTJ852056:CTJ852066 DDF852056:DDF852066 DNB852056:DNB852066 DWX852056:DWX852066 EGT852056:EGT852066 EQP852056:EQP852066 FAL852056:FAL852066 FKH852056:FKH852066 FUD852056:FUD852066 GDZ852056:GDZ852066 GNV852056:GNV852066 GXR852056:GXR852066 HHN852056:HHN852066 HRJ852056:HRJ852066 IBF852056:IBF852066 ILB852056:ILB852066 IUX852056:IUX852066 JET852056:JET852066 JOP852056:JOP852066 JYL852056:JYL852066 KIH852056:KIH852066 KSD852056:KSD852066 LBZ852056:LBZ852066 LLV852056:LLV852066 LVR852056:LVR852066 MFN852056:MFN852066 MPJ852056:MPJ852066 MZF852056:MZF852066 NJB852056:NJB852066 NSX852056:NSX852066 OCT852056:OCT852066 OMP852056:OMP852066 OWL852056:OWL852066 PGH852056:PGH852066 PQD852056:PQD852066 PZZ852056:PZZ852066 QJV852056:QJV852066 QTR852056:QTR852066 RDN852056:RDN852066 RNJ852056:RNJ852066 RXF852056:RXF852066 SHB852056:SHB852066 SQX852056:SQX852066 TAT852056:TAT852066 TKP852056:TKP852066 TUL852056:TUL852066 UEH852056:UEH852066 UOD852056:UOD852066 UXZ852056:UXZ852066 VHV852056:VHV852066 VRR852056:VRR852066 WBN852056:WBN852066 WLJ852056:WLJ852066 WVF852056:WVF852066 B917592:B917602 IT917592:IT917602 SP917592:SP917602 ACL917592:ACL917602 AMH917592:AMH917602 AWD917592:AWD917602 BFZ917592:BFZ917602 BPV917592:BPV917602 BZR917592:BZR917602 CJN917592:CJN917602 CTJ917592:CTJ917602 DDF917592:DDF917602 DNB917592:DNB917602 DWX917592:DWX917602 EGT917592:EGT917602 EQP917592:EQP917602 FAL917592:FAL917602 FKH917592:FKH917602 FUD917592:FUD917602 GDZ917592:GDZ917602 GNV917592:GNV917602 GXR917592:GXR917602 HHN917592:HHN917602 HRJ917592:HRJ917602 IBF917592:IBF917602 ILB917592:ILB917602 IUX917592:IUX917602 JET917592:JET917602 JOP917592:JOP917602 JYL917592:JYL917602 KIH917592:KIH917602 KSD917592:KSD917602 LBZ917592:LBZ917602 LLV917592:LLV917602 LVR917592:LVR917602 MFN917592:MFN917602 MPJ917592:MPJ917602 MZF917592:MZF917602 NJB917592:NJB917602 NSX917592:NSX917602 OCT917592:OCT917602 OMP917592:OMP917602 OWL917592:OWL917602 PGH917592:PGH917602 PQD917592:PQD917602 PZZ917592:PZZ917602 QJV917592:QJV917602 QTR917592:QTR917602 RDN917592:RDN917602 RNJ917592:RNJ917602 RXF917592:RXF917602 SHB917592:SHB917602 SQX917592:SQX917602 TAT917592:TAT917602 TKP917592:TKP917602 TUL917592:TUL917602 UEH917592:UEH917602 UOD917592:UOD917602 UXZ917592:UXZ917602 VHV917592:VHV917602 VRR917592:VRR917602 WBN917592:WBN917602 WLJ917592:WLJ917602 WVF917592:WVF917602 B983128:B983138 IT983128:IT983138 SP983128:SP983138 ACL983128:ACL983138 AMH983128:AMH983138 AWD983128:AWD983138 BFZ983128:BFZ983138 BPV983128:BPV983138 BZR983128:BZR983138 CJN983128:CJN983138 CTJ983128:CTJ983138 DDF983128:DDF983138 DNB983128:DNB983138 DWX983128:DWX983138 EGT983128:EGT983138 EQP983128:EQP983138 FAL983128:FAL983138 FKH983128:FKH983138 FUD983128:FUD983138 GDZ983128:GDZ983138 GNV983128:GNV983138 GXR983128:GXR983138 HHN983128:HHN983138 HRJ983128:HRJ983138 IBF983128:IBF983138 ILB983128:ILB983138 IUX983128:IUX983138 JET983128:JET983138 JOP983128:JOP983138 JYL983128:JYL983138 KIH983128:KIH983138 KSD983128:KSD983138 LBZ983128:LBZ983138 LLV983128:LLV983138 LVR983128:LVR983138 MFN983128:MFN983138 MPJ983128:MPJ983138 MZF983128:MZF983138 NJB983128:NJB983138 NSX983128:NSX983138 OCT983128:OCT983138 OMP983128:OMP983138 OWL983128:OWL983138 PGH983128:PGH983138 PQD983128:PQD983138 PZZ983128:PZZ983138 QJV983128:QJV983138 QTR983128:QTR983138 RDN983128:RDN983138 RNJ983128:RNJ983138 RXF983128:RXF983138 SHB983128:SHB983138 SQX983128:SQX983138 TAT983128:TAT983138 TKP983128:TKP983138 TUL983128:TUL983138 UEH983128:UEH983138 UOD983128:UOD983138 UXZ983128:UXZ983138 VHV983128:VHV983138 VRR983128:VRR983138 WBN983128:WBN983138 WLJ983128:WLJ983138 WVF983128:WVF983138 B77:B86 IT77:IT86 SP77:SP86 ACL77:ACL86 AMH77:AMH86 AWD77:AWD86 BFZ77:BFZ86 BPV77:BPV86 BZR77:BZR86 CJN77:CJN86 CTJ77:CTJ86 DDF77:DDF86 DNB77:DNB86 DWX77:DWX86 EGT77:EGT86 EQP77:EQP86 FAL77:FAL86 FKH77:FKH86 FUD77:FUD86 GDZ77:GDZ86 GNV77:GNV86 GXR77:GXR86 HHN77:HHN86 HRJ77:HRJ86 IBF77:IBF86 ILB77:ILB86 IUX77:IUX86 JET77:JET86 JOP77:JOP86 JYL77:JYL86 KIH77:KIH86 KSD77:KSD86 LBZ77:LBZ86 LLV77:LLV86 LVR77:LVR86 MFN77:MFN86 MPJ77:MPJ86 MZF77:MZF86 NJB77:NJB86 NSX77:NSX86 OCT77:OCT86 OMP77:OMP86 OWL77:OWL86 PGH77:PGH86 PQD77:PQD86 PZZ77:PZZ86 QJV77:QJV86 QTR77:QTR86 RDN77:RDN86 RNJ77:RNJ86 RXF77:RXF86 SHB77:SHB86 SQX77:SQX86 TAT77:TAT86 TKP77:TKP86 TUL77:TUL86 UEH77:UEH86 UOD77:UOD86 UXZ77:UXZ86 VHV77:VHV86 VRR77:VRR86 WBN77:WBN86 WLJ77:WLJ86 WVF77:WVF86 B65613:B65622 IT65613:IT65622 SP65613:SP65622 ACL65613:ACL65622 AMH65613:AMH65622 AWD65613:AWD65622 BFZ65613:BFZ65622 BPV65613:BPV65622 BZR65613:BZR65622 CJN65613:CJN65622 CTJ65613:CTJ65622 DDF65613:DDF65622 DNB65613:DNB65622 DWX65613:DWX65622 EGT65613:EGT65622 EQP65613:EQP65622 FAL65613:FAL65622 FKH65613:FKH65622 FUD65613:FUD65622 GDZ65613:GDZ65622 GNV65613:GNV65622 GXR65613:GXR65622 HHN65613:HHN65622 HRJ65613:HRJ65622 IBF65613:IBF65622 ILB65613:ILB65622 IUX65613:IUX65622 JET65613:JET65622 JOP65613:JOP65622 JYL65613:JYL65622 KIH65613:KIH65622 KSD65613:KSD65622 LBZ65613:LBZ65622 LLV65613:LLV65622 LVR65613:LVR65622 MFN65613:MFN65622 MPJ65613:MPJ65622 MZF65613:MZF65622 NJB65613:NJB65622 NSX65613:NSX65622 OCT65613:OCT65622 OMP65613:OMP65622 OWL65613:OWL65622 PGH65613:PGH65622 PQD65613:PQD65622 PZZ65613:PZZ65622 QJV65613:QJV65622 QTR65613:QTR65622 RDN65613:RDN65622 RNJ65613:RNJ65622 RXF65613:RXF65622 SHB65613:SHB65622 SQX65613:SQX65622 TAT65613:TAT65622 TKP65613:TKP65622 TUL65613:TUL65622 UEH65613:UEH65622 UOD65613:UOD65622 UXZ65613:UXZ65622 VHV65613:VHV65622 VRR65613:VRR65622 WBN65613:WBN65622 WLJ65613:WLJ65622 WVF65613:WVF65622 B131149:B131158 IT131149:IT131158 SP131149:SP131158 ACL131149:ACL131158 AMH131149:AMH131158 AWD131149:AWD131158 BFZ131149:BFZ131158 BPV131149:BPV131158 BZR131149:BZR131158 CJN131149:CJN131158 CTJ131149:CTJ131158 DDF131149:DDF131158 DNB131149:DNB131158 DWX131149:DWX131158 EGT131149:EGT131158 EQP131149:EQP131158 FAL131149:FAL131158 FKH131149:FKH131158 FUD131149:FUD131158 GDZ131149:GDZ131158 GNV131149:GNV131158 GXR131149:GXR131158 HHN131149:HHN131158 HRJ131149:HRJ131158 IBF131149:IBF131158 ILB131149:ILB131158 IUX131149:IUX131158 JET131149:JET131158 JOP131149:JOP131158 JYL131149:JYL131158 KIH131149:KIH131158 KSD131149:KSD131158 LBZ131149:LBZ131158 LLV131149:LLV131158 LVR131149:LVR131158 MFN131149:MFN131158 MPJ131149:MPJ131158 MZF131149:MZF131158 NJB131149:NJB131158 NSX131149:NSX131158 OCT131149:OCT131158 OMP131149:OMP131158 OWL131149:OWL131158 PGH131149:PGH131158 PQD131149:PQD131158 PZZ131149:PZZ131158 QJV131149:QJV131158 QTR131149:QTR131158 RDN131149:RDN131158 RNJ131149:RNJ131158 RXF131149:RXF131158 SHB131149:SHB131158 SQX131149:SQX131158 TAT131149:TAT131158 TKP131149:TKP131158 TUL131149:TUL131158 UEH131149:UEH131158 UOD131149:UOD131158 UXZ131149:UXZ131158 VHV131149:VHV131158 VRR131149:VRR131158 WBN131149:WBN131158 WLJ131149:WLJ131158 WVF131149:WVF131158 B196685:B196694 IT196685:IT196694 SP196685:SP196694 ACL196685:ACL196694 AMH196685:AMH196694 AWD196685:AWD196694 BFZ196685:BFZ196694 BPV196685:BPV196694 BZR196685:BZR196694 CJN196685:CJN196694 CTJ196685:CTJ196694 DDF196685:DDF196694 DNB196685:DNB196694 DWX196685:DWX196694 EGT196685:EGT196694 EQP196685:EQP196694 FAL196685:FAL196694 FKH196685:FKH196694 FUD196685:FUD196694 GDZ196685:GDZ196694 GNV196685:GNV196694 GXR196685:GXR196694 HHN196685:HHN196694 HRJ196685:HRJ196694 IBF196685:IBF196694 ILB196685:ILB196694 IUX196685:IUX196694 JET196685:JET196694 JOP196685:JOP196694 JYL196685:JYL196694 KIH196685:KIH196694 KSD196685:KSD196694 LBZ196685:LBZ196694 LLV196685:LLV196694 LVR196685:LVR196694 MFN196685:MFN196694 MPJ196685:MPJ196694 MZF196685:MZF196694 NJB196685:NJB196694 NSX196685:NSX196694 OCT196685:OCT196694 OMP196685:OMP196694 OWL196685:OWL196694 PGH196685:PGH196694 PQD196685:PQD196694 PZZ196685:PZZ196694 QJV196685:QJV196694 QTR196685:QTR196694 RDN196685:RDN196694 RNJ196685:RNJ196694 RXF196685:RXF196694 SHB196685:SHB196694 SQX196685:SQX196694 TAT196685:TAT196694 TKP196685:TKP196694 TUL196685:TUL196694 UEH196685:UEH196694 UOD196685:UOD196694 UXZ196685:UXZ196694 VHV196685:VHV196694 VRR196685:VRR196694 WBN196685:WBN196694 WLJ196685:WLJ196694 WVF196685:WVF196694 B262221:B262230 IT262221:IT262230 SP262221:SP262230 ACL262221:ACL262230 AMH262221:AMH262230 AWD262221:AWD262230 BFZ262221:BFZ262230 BPV262221:BPV262230 BZR262221:BZR262230 CJN262221:CJN262230 CTJ262221:CTJ262230 DDF262221:DDF262230 DNB262221:DNB262230 DWX262221:DWX262230 EGT262221:EGT262230 EQP262221:EQP262230 FAL262221:FAL262230 FKH262221:FKH262230 FUD262221:FUD262230 GDZ262221:GDZ262230 GNV262221:GNV262230 GXR262221:GXR262230 HHN262221:HHN262230 HRJ262221:HRJ262230 IBF262221:IBF262230 ILB262221:ILB262230 IUX262221:IUX262230 JET262221:JET262230 JOP262221:JOP262230 JYL262221:JYL262230 KIH262221:KIH262230 KSD262221:KSD262230 LBZ262221:LBZ262230 LLV262221:LLV262230 LVR262221:LVR262230 MFN262221:MFN262230 MPJ262221:MPJ262230 MZF262221:MZF262230 NJB262221:NJB262230 NSX262221:NSX262230 OCT262221:OCT262230 OMP262221:OMP262230 OWL262221:OWL262230 PGH262221:PGH262230 PQD262221:PQD262230 PZZ262221:PZZ262230 QJV262221:QJV262230 QTR262221:QTR262230 RDN262221:RDN262230 RNJ262221:RNJ262230 RXF262221:RXF262230 SHB262221:SHB262230 SQX262221:SQX262230 TAT262221:TAT262230 TKP262221:TKP262230 TUL262221:TUL262230 UEH262221:UEH262230 UOD262221:UOD262230 UXZ262221:UXZ262230 VHV262221:VHV262230 VRR262221:VRR262230 WBN262221:WBN262230 WLJ262221:WLJ262230 WVF262221:WVF262230 B327757:B327766 IT327757:IT327766 SP327757:SP327766 ACL327757:ACL327766 AMH327757:AMH327766 AWD327757:AWD327766 BFZ327757:BFZ327766 BPV327757:BPV327766 BZR327757:BZR327766 CJN327757:CJN327766 CTJ327757:CTJ327766 DDF327757:DDF327766 DNB327757:DNB327766 DWX327757:DWX327766 EGT327757:EGT327766 EQP327757:EQP327766 FAL327757:FAL327766 FKH327757:FKH327766 FUD327757:FUD327766 GDZ327757:GDZ327766 GNV327757:GNV327766 GXR327757:GXR327766 HHN327757:HHN327766 HRJ327757:HRJ327766 IBF327757:IBF327766 ILB327757:ILB327766 IUX327757:IUX327766 JET327757:JET327766 JOP327757:JOP327766 JYL327757:JYL327766 KIH327757:KIH327766 KSD327757:KSD327766 LBZ327757:LBZ327766 LLV327757:LLV327766 LVR327757:LVR327766 MFN327757:MFN327766 MPJ327757:MPJ327766 MZF327757:MZF327766 NJB327757:NJB327766 NSX327757:NSX327766 OCT327757:OCT327766 OMP327757:OMP327766 OWL327757:OWL327766 PGH327757:PGH327766 PQD327757:PQD327766 PZZ327757:PZZ327766 QJV327757:QJV327766 QTR327757:QTR327766 RDN327757:RDN327766 RNJ327757:RNJ327766 RXF327757:RXF327766 SHB327757:SHB327766 SQX327757:SQX327766 TAT327757:TAT327766 TKP327757:TKP327766 TUL327757:TUL327766 UEH327757:UEH327766 UOD327757:UOD327766 UXZ327757:UXZ327766 VHV327757:VHV327766 VRR327757:VRR327766 WBN327757:WBN327766 WLJ327757:WLJ327766 WVF327757:WVF327766 B393293:B393302 IT393293:IT393302 SP393293:SP393302 ACL393293:ACL393302 AMH393293:AMH393302 AWD393293:AWD393302 BFZ393293:BFZ393302 BPV393293:BPV393302 BZR393293:BZR393302 CJN393293:CJN393302 CTJ393293:CTJ393302 DDF393293:DDF393302 DNB393293:DNB393302 DWX393293:DWX393302 EGT393293:EGT393302 EQP393293:EQP393302 FAL393293:FAL393302 FKH393293:FKH393302 FUD393293:FUD393302 GDZ393293:GDZ393302 GNV393293:GNV393302 GXR393293:GXR393302 HHN393293:HHN393302 HRJ393293:HRJ393302 IBF393293:IBF393302 ILB393293:ILB393302 IUX393293:IUX393302 JET393293:JET393302 JOP393293:JOP393302 JYL393293:JYL393302 KIH393293:KIH393302 KSD393293:KSD393302 LBZ393293:LBZ393302 LLV393293:LLV393302 LVR393293:LVR393302 MFN393293:MFN393302 MPJ393293:MPJ393302 MZF393293:MZF393302 NJB393293:NJB393302 NSX393293:NSX393302 OCT393293:OCT393302 OMP393293:OMP393302 OWL393293:OWL393302 PGH393293:PGH393302 PQD393293:PQD393302 PZZ393293:PZZ393302 QJV393293:QJV393302 QTR393293:QTR393302 RDN393293:RDN393302 RNJ393293:RNJ393302 RXF393293:RXF393302 SHB393293:SHB393302 SQX393293:SQX393302 TAT393293:TAT393302 TKP393293:TKP393302 TUL393293:TUL393302 UEH393293:UEH393302 UOD393293:UOD393302 UXZ393293:UXZ393302 VHV393293:VHV393302 VRR393293:VRR393302 WBN393293:WBN393302 WLJ393293:WLJ393302 WVF393293:WVF393302 B458829:B458838 IT458829:IT458838 SP458829:SP458838 ACL458829:ACL458838 AMH458829:AMH458838 AWD458829:AWD458838 BFZ458829:BFZ458838 BPV458829:BPV458838 BZR458829:BZR458838 CJN458829:CJN458838 CTJ458829:CTJ458838 DDF458829:DDF458838 DNB458829:DNB458838 DWX458829:DWX458838 EGT458829:EGT458838 EQP458829:EQP458838 FAL458829:FAL458838 FKH458829:FKH458838 FUD458829:FUD458838 GDZ458829:GDZ458838 GNV458829:GNV458838 GXR458829:GXR458838 HHN458829:HHN458838 HRJ458829:HRJ458838 IBF458829:IBF458838 ILB458829:ILB458838 IUX458829:IUX458838 JET458829:JET458838 JOP458829:JOP458838 JYL458829:JYL458838 KIH458829:KIH458838 KSD458829:KSD458838 LBZ458829:LBZ458838 LLV458829:LLV458838 LVR458829:LVR458838 MFN458829:MFN458838 MPJ458829:MPJ458838 MZF458829:MZF458838 NJB458829:NJB458838 NSX458829:NSX458838 OCT458829:OCT458838 OMP458829:OMP458838 OWL458829:OWL458838 PGH458829:PGH458838 PQD458829:PQD458838 PZZ458829:PZZ458838 QJV458829:QJV458838 QTR458829:QTR458838 RDN458829:RDN458838 RNJ458829:RNJ458838 RXF458829:RXF458838 SHB458829:SHB458838 SQX458829:SQX458838 TAT458829:TAT458838 TKP458829:TKP458838 TUL458829:TUL458838 UEH458829:UEH458838 UOD458829:UOD458838 UXZ458829:UXZ458838 VHV458829:VHV458838 VRR458829:VRR458838 WBN458829:WBN458838 WLJ458829:WLJ458838 WVF458829:WVF458838 B524365:B524374 IT524365:IT524374 SP524365:SP524374 ACL524365:ACL524374 AMH524365:AMH524374 AWD524365:AWD524374 BFZ524365:BFZ524374 BPV524365:BPV524374 BZR524365:BZR524374 CJN524365:CJN524374 CTJ524365:CTJ524374 DDF524365:DDF524374 DNB524365:DNB524374 DWX524365:DWX524374 EGT524365:EGT524374 EQP524365:EQP524374 FAL524365:FAL524374 FKH524365:FKH524374 FUD524365:FUD524374 GDZ524365:GDZ524374 GNV524365:GNV524374 GXR524365:GXR524374 HHN524365:HHN524374 HRJ524365:HRJ524374 IBF524365:IBF524374 ILB524365:ILB524374 IUX524365:IUX524374 JET524365:JET524374 JOP524365:JOP524374 JYL524365:JYL524374 KIH524365:KIH524374 KSD524365:KSD524374 LBZ524365:LBZ524374 LLV524365:LLV524374 LVR524365:LVR524374 MFN524365:MFN524374 MPJ524365:MPJ524374 MZF524365:MZF524374 NJB524365:NJB524374 NSX524365:NSX524374 OCT524365:OCT524374 OMP524365:OMP524374 OWL524365:OWL524374 PGH524365:PGH524374 PQD524365:PQD524374 PZZ524365:PZZ524374 QJV524365:QJV524374 QTR524365:QTR524374 RDN524365:RDN524374 RNJ524365:RNJ524374 RXF524365:RXF524374 SHB524365:SHB524374 SQX524365:SQX524374 TAT524365:TAT524374 TKP524365:TKP524374 TUL524365:TUL524374 UEH524365:UEH524374 UOD524365:UOD524374 UXZ524365:UXZ524374 VHV524365:VHV524374 VRR524365:VRR524374 WBN524365:WBN524374 WLJ524365:WLJ524374 WVF524365:WVF524374 B589901:B589910 IT589901:IT589910 SP589901:SP589910 ACL589901:ACL589910 AMH589901:AMH589910 AWD589901:AWD589910 BFZ589901:BFZ589910 BPV589901:BPV589910 BZR589901:BZR589910 CJN589901:CJN589910 CTJ589901:CTJ589910 DDF589901:DDF589910 DNB589901:DNB589910 DWX589901:DWX589910 EGT589901:EGT589910 EQP589901:EQP589910 FAL589901:FAL589910 FKH589901:FKH589910 FUD589901:FUD589910 GDZ589901:GDZ589910 GNV589901:GNV589910 GXR589901:GXR589910 HHN589901:HHN589910 HRJ589901:HRJ589910 IBF589901:IBF589910 ILB589901:ILB589910 IUX589901:IUX589910 JET589901:JET589910 JOP589901:JOP589910 JYL589901:JYL589910 KIH589901:KIH589910 KSD589901:KSD589910 LBZ589901:LBZ589910 LLV589901:LLV589910 LVR589901:LVR589910 MFN589901:MFN589910 MPJ589901:MPJ589910 MZF589901:MZF589910 NJB589901:NJB589910 NSX589901:NSX589910 OCT589901:OCT589910 OMP589901:OMP589910 OWL589901:OWL589910 PGH589901:PGH589910 PQD589901:PQD589910 PZZ589901:PZZ589910 QJV589901:QJV589910 QTR589901:QTR589910 RDN589901:RDN589910 RNJ589901:RNJ589910 RXF589901:RXF589910 SHB589901:SHB589910 SQX589901:SQX589910 TAT589901:TAT589910 TKP589901:TKP589910 TUL589901:TUL589910 UEH589901:UEH589910 UOD589901:UOD589910 UXZ589901:UXZ589910 VHV589901:VHV589910 VRR589901:VRR589910 WBN589901:WBN589910 WLJ589901:WLJ589910 WVF589901:WVF589910 B655437:B655446 IT655437:IT655446 SP655437:SP655446 ACL655437:ACL655446 AMH655437:AMH655446 AWD655437:AWD655446 BFZ655437:BFZ655446 BPV655437:BPV655446 BZR655437:BZR655446 CJN655437:CJN655446 CTJ655437:CTJ655446 DDF655437:DDF655446 DNB655437:DNB655446 DWX655437:DWX655446 EGT655437:EGT655446 EQP655437:EQP655446 FAL655437:FAL655446 FKH655437:FKH655446 FUD655437:FUD655446 GDZ655437:GDZ655446 GNV655437:GNV655446 GXR655437:GXR655446 HHN655437:HHN655446 HRJ655437:HRJ655446 IBF655437:IBF655446 ILB655437:ILB655446 IUX655437:IUX655446 JET655437:JET655446 JOP655437:JOP655446 JYL655437:JYL655446 KIH655437:KIH655446 KSD655437:KSD655446 LBZ655437:LBZ655446 LLV655437:LLV655446 LVR655437:LVR655446 MFN655437:MFN655446 MPJ655437:MPJ655446 MZF655437:MZF655446 NJB655437:NJB655446 NSX655437:NSX655446 OCT655437:OCT655446 OMP655437:OMP655446 OWL655437:OWL655446 PGH655437:PGH655446 PQD655437:PQD655446 PZZ655437:PZZ655446 QJV655437:QJV655446 QTR655437:QTR655446 RDN655437:RDN655446 RNJ655437:RNJ655446 RXF655437:RXF655446 SHB655437:SHB655446 SQX655437:SQX655446 TAT655437:TAT655446 TKP655437:TKP655446 TUL655437:TUL655446 UEH655437:UEH655446 UOD655437:UOD655446 UXZ655437:UXZ655446 VHV655437:VHV655446 VRR655437:VRR655446 WBN655437:WBN655446 WLJ655437:WLJ655446 WVF655437:WVF655446 B720973:B720982 IT720973:IT720982 SP720973:SP720982 ACL720973:ACL720982 AMH720973:AMH720982 AWD720973:AWD720982 BFZ720973:BFZ720982 BPV720973:BPV720982 BZR720973:BZR720982 CJN720973:CJN720982 CTJ720973:CTJ720982 DDF720973:DDF720982 DNB720973:DNB720982 DWX720973:DWX720982 EGT720973:EGT720982 EQP720973:EQP720982 FAL720973:FAL720982 FKH720973:FKH720982 FUD720973:FUD720982 GDZ720973:GDZ720982 GNV720973:GNV720982 GXR720973:GXR720982 HHN720973:HHN720982 HRJ720973:HRJ720982 IBF720973:IBF720982 ILB720973:ILB720982 IUX720973:IUX720982 JET720973:JET720982 JOP720973:JOP720982 JYL720973:JYL720982 KIH720973:KIH720982 KSD720973:KSD720982 LBZ720973:LBZ720982 LLV720973:LLV720982 LVR720973:LVR720982 MFN720973:MFN720982 MPJ720973:MPJ720982 MZF720973:MZF720982 NJB720973:NJB720982 NSX720973:NSX720982 OCT720973:OCT720982 OMP720973:OMP720982 OWL720973:OWL720982 PGH720973:PGH720982 PQD720973:PQD720982 PZZ720973:PZZ720982 QJV720973:QJV720982 QTR720973:QTR720982 RDN720973:RDN720982 RNJ720973:RNJ720982 RXF720973:RXF720982 SHB720973:SHB720982 SQX720973:SQX720982 TAT720973:TAT720982 TKP720973:TKP720982 TUL720973:TUL720982 UEH720973:UEH720982 UOD720973:UOD720982 UXZ720973:UXZ720982 VHV720973:VHV720982 VRR720973:VRR720982 WBN720973:WBN720982 WLJ720973:WLJ720982 WVF720973:WVF720982 B786509:B786518 IT786509:IT786518 SP786509:SP786518 ACL786509:ACL786518 AMH786509:AMH786518 AWD786509:AWD786518 BFZ786509:BFZ786518 BPV786509:BPV786518 BZR786509:BZR786518 CJN786509:CJN786518 CTJ786509:CTJ786518 DDF786509:DDF786518 DNB786509:DNB786518 DWX786509:DWX786518 EGT786509:EGT786518 EQP786509:EQP786518 FAL786509:FAL786518 FKH786509:FKH786518 FUD786509:FUD786518 GDZ786509:GDZ786518 GNV786509:GNV786518 GXR786509:GXR786518 HHN786509:HHN786518 HRJ786509:HRJ786518 IBF786509:IBF786518 ILB786509:ILB786518 IUX786509:IUX786518 JET786509:JET786518 JOP786509:JOP786518 JYL786509:JYL786518 KIH786509:KIH786518 KSD786509:KSD786518 LBZ786509:LBZ786518 LLV786509:LLV786518 LVR786509:LVR786518 MFN786509:MFN786518 MPJ786509:MPJ786518 MZF786509:MZF786518 NJB786509:NJB786518 NSX786509:NSX786518 OCT786509:OCT786518 OMP786509:OMP786518 OWL786509:OWL786518 PGH786509:PGH786518 PQD786509:PQD786518 PZZ786509:PZZ786518 QJV786509:QJV786518 QTR786509:QTR786518 RDN786509:RDN786518 RNJ786509:RNJ786518 RXF786509:RXF786518 SHB786509:SHB786518 SQX786509:SQX786518 TAT786509:TAT786518 TKP786509:TKP786518 TUL786509:TUL786518 UEH786509:UEH786518 UOD786509:UOD786518 UXZ786509:UXZ786518 VHV786509:VHV786518 VRR786509:VRR786518 WBN786509:WBN786518 WLJ786509:WLJ786518 WVF786509:WVF786518 B852045:B852054 IT852045:IT852054 SP852045:SP852054 ACL852045:ACL852054 AMH852045:AMH852054 AWD852045:AWD852054 BFZ852045:BFZ852054 BPV852045:BPV852054 BZR852045:BZR852054 CJN852045:CJN852054 CTJ852045:CTJ852054 DDF852045:DDF852054 DNB852045:DNB852054 DWX852045:DWX852054 EGT852045:EGT852054 EQP852045:EQP852054 FAL852045:FAL852054 FKH852045:FKH852054 FUD852045:FUD852054 GDZ852045:GDZ852054 GNV852045:GNV852054 GXR852045:GXR852054 HHN852045:HHN852054 HRJ852045:HRJ852054 IBF852045:IBF852054 ILB852045:ILB852054 IUX852045:IUX852054 JET852045:JET852054 JOP852045:JOP852054 JYL852045:JYL852054 KIH852045:KIH852054 KSD852045:KSD852054 LBZ852045:LBZ852054 LLV852045:LLV852054 LVR852045:LVR852054 MFN852045:MFN852054 MPJ852045:MPJ852054 MZF852045:MZF852054 NJB852045:NJB852054 NSX852045:NSX852054 OCT852045:OCT852054 OMP852045:OMP852054 OWL852045:OWL852054 PGH852045:PGH852054 PQD852045:PQD852054 PZZ852045:PZZ852054 QJV852045:QJV852054 QTR852045:QTR852054 RDN852045:RDN852054 RNJ852045:RNJ852054 RXF852045:RXF852054 SHB852045:SHB852054 SQX852045:SQX852054 TAT852045:TAT852054 TKP852045:TKP852054 TUL852045:TUL852054 UEH852045:UEH852054 UOD852045:UOD852054 UXZ852045:UXZ852054 VHV852045:VHV852054 VRR852045:VRR852054 WBN852045:WBN852054 WLJ852045:WLJ852054 WVF852045:WVF852054 B917581:B917590 IT917581:IT917590 SP917581:SP917590 ACL917581:ACL917590 AMH917581:AMH917590 AWD917581:AWD917590 BFZ917581:BFZ917590 BPV917581:BPV917590 BZR917581:BZR917590 CJN917581:CJN917590 CTJ917581:CTJ917590 DDF917581:DDF917590 DNB917581:DNB917590 DWX917581:DWX917590 EGT917581:EGT917590 EQP917581:EQP917590 FAL917581:FAL917590 FKH917581:FKH917590 FUD917581:FUD917590 GDZ917581:GDZ917590 GNV917581:GNV917590 GXR917581:GXR917590 HHN917581:HHN917590 HRJ917581:HRJ917590 IBF917581:IBF917590 ILB917581:ILB917590 IUX917581:IUX917590 JET917581:JET917590 JOP917581:JOP917590 JYL917581:JYL917590 KIH917581:KIH917590 KSD917581:KSD917590 LBZ917581:LBZ917590 LLV917581:LLV917590 LVR917581:LVR917590 MFN917581:MFN917590 MPJ917581:MPJ917590 MZF917581:MZF917590 NJB917581:NJB917590 NSX917581:NSX917590 OCT917581:OCT917590 OMP917581:OMP917590 OWL917581:OWL917590 PGH917581:PGH917590 PQD917581:PQD917590 PZZ917581:PZZ917590 QJV917581:QJV917590 QTR917581:QTR917590 RDN917581:RDN917590 RNJ917581:RNJ917590 RXF917581:RXF917590 SHB917581:SHB917590 SQX917581:SQX917590 TAT917581:TAT917590 TKP917581:TKP917590 TUL917581:TUL917590 UEH917581:UEH917590 UOD917581:UOD917590 UXZ917581:UXZ917590 VHV917581:VHV917590 VRR917581:VRR917590 WBN917581:WBN917590 WLJ917581:WLJ917590 WVF917581:WVF917590 B983117:B983126 IT983117:IT983126 SP983117:SP983126 ACL983117:ACL983126 AMH983117:AMH983126 AWD983117:AWD983126 BFZ983117:BFZ983126 BPV983117:BPV983126 BZR983117:BZR983126 CJN983117:CJN983126 CTJ983117:CTJ983126 DDF983117:DDF983126 DNB983117:DNB983126 DWX983117:DWX983126 EGT983117:EGT983126 EQP983117:EQP983126 FAL983117:FAL983126 FKH983117:FKH983126 FUD983117:FUD983126 GDZ983117:GDZ983126 GNV983117:GNV983126 GXR983117:GXR983126 HHN983117:HHN983126 HRJ983117:HRJ983126 IBF983117:IBF983126 ILB983117:ILB983126 IUX983117:IUX983126 JET983117:JET983126 JOP983117:JOP983126 JYL983117:JYL983126 KIH983117:KIH983126 KSD983117:KSD983126 LBZ983117:LBZ983126 LLV983117:LLV983126 LVR983117:LVR983126 MFN983117:MFN983126 MPJ983117:MPJ983126 MZF983117:MZF983126 NJB983117:NJB983126 NSX983117:NSX983126 OCT983117:OCT983126 OMP983117:OMP983126 OWL983117:OWL983126 PGH983117:PGH983126 PQD983117:PQD983126 PZZ983117:PZZ983126 QJV983117:QJV983126 QTR983117:QTR983126 RDN983117:RDN983126 RNJ983117:RNJ983126 RXF983117:RXF983126 SHB983117:SHB983126 SQX983117:SQX983126 TAT983117:TAT983126 TKP983117:TKP983126 TUL983117:TUL983126 UEH983117:UEH983126 UOD983117:UOD983126 UXZ983117:UXZ983126 VHV983117:VHV983126 VRR983117:VRR983126 WBN983117:WBN983126 WLJ983117:WLJ983126 WVF983117:WVF983126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T413"/>
  <sheetViews>
    <sheetView zoomScaleNormal="100" workbookViewId="0">
      <pane ySplit="6" topLeftCell="A68" activePane="bottomLeft" state="frozen"/>
      <selection pane="bottomLeft" sqref="A1:I1"/>
    </sheetView>
  </sheetViews>
  <sheetFormatPr baseColWidth="10" defaultColWidth="9.1640625" defaultRowHeight="15"/>
  <cols>
    <col min="1" max="1" width="24.83203125" style="3" customWidth="1"/>
    <col min="2" max="2" width="35.6640625" style="76" customWidth="1"/>
    <col min="3" max="3" width="10.5" style="5" customWidth="1"/>
    <col min="4" max="5" width="12.83203125" style="61" customWidth="1"/>
    <col min="6" max="6" width="13.33203125" style="73" customWidth="1"/>
    <col min="7" max="7" width="13.33203125" style="78" customWidth="1"/>
    <col min="8" max="8" width="13.33203125" style="73" customWidth="1"/>
    <col min="9" max="9" width="20.83203125" style="3" customWidth="1"/>
    <col min="10" max="10" width="9.1640625" style="70"/>
  </cols>
  <sheetData>
    <row r="1" spans="1:10" s="1" customFormat="1" ht="30" customHeight="1">
      <c r="A1" s="265" t="s">
        <v>437</v>
      </c>
      <c r="B1" s="265"/>
      <c r="C1" s="265"/>
      <c r="D1" s="265"/>
      <c r="E1" s="265"/>
      <c r="F1" s="265"/>
      <c r="G1" s="265"/>
      <c r="H1" s="265"/>
      <c r="I1" s="266"/>
      <c r="J1" s="132"/>
    </row>
    <row r="2" spans="1:10" s="1" customFormat="1" ht="16" customHeight="1">
      <c r="A2" s="267" t="s">
        <v>668</v>
      </c>
      <c r="B2" s="267"/>
      <c r="C2" s="267"/>
      <c r="D2" s="267"/>
      <c r="E2" s="267"/>
      <c r="F2" s="267"/>
      <c r="G2" s="267"/>
      <c r="H2" s="267"/>
      <c r="I2" s="268"/>
      <c r="J2" s="132"/>
    </row>
    <row r="3" spans="1:10" ht="54" customHeight="1">
      <c r="A3" s="264" t="s">
        <v>554</v>
      </c>
      <c r="B3" s="96" t="str">
        <f>'Оценка (раздел 1)'!F3</f>
        <v>1.2 Содержится ли в составе закона о бюджете приложение (приложения) о прогнозируемых объемах поступлений по видам доходов на 2023 год и на плановый период 2024 и 2025 годов?</v>
      </c>
      <c r="C3" s="105" t="s">
        <v>98</v>
      </c>
      <c r="D3" s="263" t="s">
        <v>133</v>
      </c>
      <c r="E3" s="263" t="s">
        <v>118</v>
      </c>
      <c r="F3" s="263" t="s">
        <v>439</v>
      </c>
      <c r="G3" s="269"/>
      <c r="H3" s="269"/>
      <c r="I3" s="263" t="s">
        <v>130</v>
      </c>
    </row>
    <row r="4" spans="1:10" ht="20" customHeight="1">
      <c r="A4" s="263"/>
      <c r="B4" s="41" t="str">
        <f>'Методика (раздел 1)'!B14</f>
        <v>Да, содержится</v>
      </c>
      <c r="C4" s="262" t="s">
        <v>89</v>
      </c>
      <c r="D4" s="263"/>
      <c r="E4" s="263"/>
      <c r="F4" s="263" t="s">
        <v>110</v>
      </c>
      <c r="G4" s="264" t="s">
        <v>113</v>
      </c>
      <c r="H4" s="264" t="s">
        <v>134</v>
      </c>
      <c r="I4" s="263"/>
    </row>
    <row r="5" spans="1:10" ht="20" customHeight="1">
      <c r="A5" s="263"/>
      <c r="B5" s="41" t="str">
        <f>'Методика (раздел 1)'!B15</f>
        <v>Нет, не содержится или не отвечает требованиям</v>
      </c>
      <c r="C5" s="263"/>
      <c r="D5" s="263"/>
      <c r="E5" s="263"/>
      <c r="F5" s="263"/>
      <c r="G5" s="263"/>
      <c r="H5" s="263"/>
      <c r="I5" s="263"/>
    </row>
    <row r="6" spans="1:10" ht="16" customHeight="1">
      <c r="A6" s="133" t="s">
        <v>0</v>
      </c>
      <c r="B6" s="134"/>
      <c r="C6" s="133"/>
      <c r="D6" s="135"/>
      <c r="E6" s="135"/>
      <c r="F6" s="135"/>
      <c r="G6" s="79"/>
      <c r="H6" s="135"/>
      <c r="I6" s="208"/>
    </row>
    <row r="7" spans="1:10" ht="16" customHeight="1">
      <c r="A7" s="107" t="s">
        <v>1</v>
      </c>
      <c r="B7" s="50" t="s">
        <v>92</v>
      </c>
      <c r="C7" s="88">
        <f>IF(B7="Да, содержится",2,0)</f>
        <v>2</v>
      </c>
      <c r="D7" s="140" t="s">
        <v>121</v>
      </c>
      <c r="E7" s="140" t="s">
        <v>121</v>
      </c>
      <c r="F7" s="47">
        <v>246</v>
      </c>
      <c r="G7" s="49">
        <f>'1.1'!H7</f>
        <v>44918</v>
      </c>
      <c r="H7" s="47">
        <v>8</v>
      </c>
      <c r="I7" s="209" t="s">
        <v>111</v>
      </c>
    </row>
    <row r="8" spans="1:10" ht="16" customHeight="1">
      <c r="A8" s="107" t="s">
        <v>2</v>
      </c>
      <c r="B8" s="50" t="s">
        <v>92</v>
      </c>
      <c r="C8" s="88">
        <f t="shared" ref="C8:C71" si="0">IF(B8="Да, содержится",2,0)</f>
        <v>2</v>
      </c>
      <c r="D8" s="140" t="s">
        <v>121</v>
      </c>
      <c r="E8" s="140" t="s">
        <v>121</v>
      </c>
      <c r="F8" s="47" t="s">
        <v>328</v>
      </c>
      <c r="G8" s="49">
        <f>'1.1'!H8</f>
        <v>44907</v>
      </c>
      <c r="H8" s="47">
        <v>1</v>
      </c>
      <c r="I8" s="209" t="s">
        <v>111</v>
      </c>
    </row>
    <row r="9" spans="1:10" ht="16" customHeight="1">
      <c r="A9" s="107" t="s">
        <v>3</v>
      </c>
      <c r="B9" s="50" t="s">
        <v>92</v>
      </c>
      <c r="C9" s="88">
        <f t="shared" si="0"/>
        <v>2</v>
      </c>
      <c r="D9" s="140" t="s">
        <v>121</v>
      </c>
      <c r="E9" s="140" t="s">
        <v>121</v>
      </c>
      <c r="F9" s="47" t="s">
        <v>329</v>
      </c>
      <c r="G9" s="49">
        <f>'1.1'!H9</f>
        <v>44921</v>
      </c>
      <c r="H9" s="47">
        <v>1</v>
      </c>
      <c r="I9" s="209" t="s">
        <v>111</v>
      </c>
    </row>
    <row r="10" spans="1:10" ht="16" customHeight="1">
      <c r="A10" s="107" t="s">
        <v>4</v>
      </c>
      <c r="B10" s="50" t="s">
        <v>92</v>
      </c>
      <c r="C10" s="88">
        <f t="shared" si="0"/>
        <v>2</v>
      </c>
      <c r="D10" s="140" t="s">
        <v>121</v>
      </c>
      <c r="E10" s="140" t="s">
        <v>121</v>
      </c>
      <c r="F10" s="47" t="s">
        <v>440</v>
      </c>
      <c r="G10" s="49">
        <f>'1.1'!H10</f>
        <v>44914</v>
      </c>
      <c r="H10" s="47">
        <v>1</v>
      </c>
      <c r="I10" s="209" t="s">
        <v>111</v>
      </c>
    </row>
    <row r="11" spans="1:10" ht="16" customHeight="1">
      <c r="A11" s="107" t="s">
        <v>5</v>
      </c>
      <c r="B11" s="50" t="s">
        <v>92</v>
      </c>
      <c r="C11" s="88">
        <f t="shared" si="0"/>
        <v>2</v>
      </c>
      <c r="D11" s="140" t="s">
        <v>121</v>
      </c>
      <c r="E11" s="140" t="s">
        <v>121</v>
      </c>
      <c r="F11" s="47" t="s">
        <v>330</v>
      </c>
      <c r="G11" s="49">
        <f>'1.1'!H11</f>
        <v>44914</v>
      </c>
      <c r="H11" s="47">
        <v>4</v>
      </c>
      <c r="I11" s="209" t="s">
        <v>111</v>
      </c>
    </row>
    <row r="12" spans="1:10" ht="16" customHeight="1">
      <c r="A12" s="107" t="s">
        <v>6</v>
      </c>
      <c r="B12" s="50" t="s">
        <v>92</v>
      </c>
      <c r="C12" s="88">
        <f t="shared" si="0"/>
        <v>2</v>
      </c>
      <c r="D12" s="140" t="s">
        <v>121</v>
      </c>
      <c r="E12" s="140" t="s">
        <v>121</v>
      </c>
      <c r="F12" s="47" t="s">
        <v>332</v>
      </c>
      <c r="G12" s="49">
        <f>'1.1'!H12</f>
        <v>44896</v>
      </c>
      <c r="H12" s="54" t="s">
        <v>331</v>
      </c>
      <c r="I12" s="136" t="s">
        <v>111</v>
      </c>
    </row>
    <row r="13" spans="1:10" ht="16" customHeight="1">
      <c r="A13" s="107" t="s">
        <v>7</v>
      </c>
      <c r="B13" s="50" t="s">
        <v>92</v>
      </c>
      <c r="C13" s="88">
        <f t="shared" si="0"/>
        <v>2</v>
      </c>
      <c r="D13" s="140" t="s">
        <v>121</v>
      </c>
      <c r="E13" s="140" t="s">
        <v>121</v>
      </c>
      <c r="F13" s="47" t="s">
        <v>333</v>
      </c>
      <c r="G13" s="49">
        <f>'1.1'!H13</f>
        <v>44914</v>
      </c>
      <c r="H13" s="47">
        <v>3</v>
      </c>
      <c r="I13" s="209" t="s">
        <v>111</v>
      </c>
    </row>
    <row r="14" spans="1:10" ht="16" customHeight="1">
      <c r="A14" s="107" t="s">
        <v>8</v>
      </c>
      <c r="B14" s="50" t="s">
        <v>92</v>
      </c>
      <c r="C14" s="88">
        <f t="shared" si="0"/>
        <v>2</v>
      </c>
      <c r="D14" s="140" t="s">
        <v>121</v>
      </c>
      <c r="E14" s="140" t="s">
        <v>121</v>
      </c>
      <c r="F14" s="47" t="s">
        <v>334</v>
      </c>
      <c r="G14" s="49">
        <f>'1.1'!H14</f>
        <v>44914</v>
      </c>
      <c r="H14" s="47">
        <v>2</v>
      </c>
      <c r="I14" s="50" t="s">
        <v>111</v>
      </c>
    </row>
    <row r="15" spans="1:10" ht="16" customHeight="1">
      <c r="A15" s="107" t="s">
        <v>9</v>
      </c>
      <c r="B15" s="50" t="s">
        <v>92</v>
      </c>
      <c r="C15" s="88">
        <f t="shared" si="0"/>
        <v>2</v>
      </c>
      <c r="D15" s="140" t="s">
        <v>121</v>
      </c>
      <c r="E15" s="140" t="s">
        <v>121</v>
      </c>
      <c r="F15" s="47" t="s">
        <v>335</v>
      </c>
      <c r="G15" s="49">
        <f>'1.1'!H15</f>
        <v>44902</v>
      </c>
      <c r="H15" s="54" t="s">
        <v>144</v>
      </c>
      <c r="I15" s="209" t="s">
        <v>111</v>
      </c>
    </row>
    <row r="16" spans="1:10" ht="16" customHeight="1">
      <c r="A16" s="107" t="s">
        <v>10</v>
      </c>
      <c r="B16" s="50" t="s">
        <v>92</v>
      </c>
      <c r="C16" s="88">
        <f t="shared" si="0"/>
        <v>2</v>
      </c>
      <c r="D16" s="140" t="s">
        <v>121</v>
      </c>
      <c r="E16" s="140" t="s">
        <v>121</v>
      </c>
      <c r="F16" s="47" t="s">
        <v>327</v>
      </c>
      <c r="G16" s="49">
        <f>'1.1'!H16</f>
        <v>44902</v>
      </c>
      <c r="H16" s="47">
        <v>5</v>
      </c>
      <c r="I16" s="209" t="s">
        <v>111</v>
      </c>
    </row>
    <row r="17" spans="1:96" ht="16" customHeight="1">
      <c r="A17" s="107" t="s">
        <v>11</v>
      </c>
      <c r="B17" s="50" t="s">
        <v>91</v>
      </c>
      <c r="C17" s="88">
        <f t="shared" si="0"/>
        <v>0</v>
      </c>
      <c r="D17" s="140" t="s">
        <v>122</v>
      </c>
      <c r="E17" s="140" t="s">
        <v>121</v>
      </c>
      <c r="F17" s="47" t="s">
        <v>336</v>
      </c>
      <c r="G17" s="49">
        <f>'1.1'!H17</f>
        <v>44897</v>
      </c>
      <c r="H17" s="47">
        <v>5</v>
      </c>
      <c r="I17" s="136" t="s">
        <v>190</v>
      </c>
      <c r="J17" s="70" t="s">
        <v>111</v>
      </c>
    </row>
    <row r="18" spans="1:96" ht="16" customHeight="1">
      <c r="A18" s="107" t="s">
        <v>12</v>
      </c>
      <c r="B18" s="50" t="s">
        <v>92</v>
      </c>
      <c r="C18" s="88">
        <f t="shared" si="0"/>
        <v>2</v>
      </c>
      <c r="D18" s="140" t="s">
        <v>121</v>
      </c>
      <c r="E18" s="140" t="s">
        <v>121</v>
      </c>
      <c r="F18" s="47" t="s">
        <v>337</v>
      </c>
      <c r="G18" s="49">
        <f>'1.1'!H18</f>
        <v>44921</v>
      </c>
      <c r="H18" s="47">
        <v>1</v>
      </c>
      <c r="I18" s="209" t="s">
        <v>111</v>
      </c>
    </row>
    <row r="19" spans="1:96" ht="16" customHeight="1">
      <c r="A19" s="107" t="s">
        <v>13</v>
      </c>
      <c r="B19" s="50" t="s">
        <v>92</v>
      </c>
      <c r="C19" s="88">
        <f t="shared" si="0"/>
        <v>2</v>
      </c>
      <c r="D19" s="140" t="s">
        <v>121</v>
      </c>
      <c r="E19" s="140" t="s">
        <v>121</v>
      </c>
      <c r="F19" s="47" t="s">
        <v>338</v>
      </c>
      <c r="G19" s="49">
        <f>'1.1'!H19</f>
        <v>44910</v>
      </c>
      <c r="H19" s="54" t="s">
        <v>211</v>
      </c>
      <c r="I19" s="50" t="s">
        <v>111</v>
      </c>
    </row>
    <row r="20" spans="1:96" ht="16" customHeight="1">
      <c r="A20" s="107" t="s">
        <v>14</v>
      </c>
      <c r="B20" s="50" t="s">
        <v>92</v>
      </c>
      <c r="C20" s="88">
        <f t="shared" si="0"/>
        <v>2</v>
      </c>
      <c r="D20" s="140" t="s">
        <v>121</v>
      </c>
      <c r="E20" s="140" t="s">
        <v>121</v>
      </c>
      <c r="F20" s="47" t="s">
        <v>340</v>
      </c>
      <c r="G20" s="49">
        <f>'1.1'!H20</f>
        <v>44918</v>
      </c>
      <c r="H20" s="47">
        <v>4</v>
      </c>
      <c r="I20" s="209" t="s">
        <v>111</v>
      </c>
    </row>
    <row r="21" spans="1:96" s="31" customFormat="1" ht="16" customHeight="1">
      <c r="A21" s="107" t="s">
        <v>15</v>
      </c>
      <c r="B21" s="137" t="s">
        <v>92</v>
      </c>
      <c r="C21" s="138">
        <f t="shared" si="0"/>
        <v>2</v>
      </c>
      <c r="D21" s="227" t="s">
        <v>121</v>
      </c>
      <c r="E21" s="227" t="s">
        <v>121</v>
      </c>
      <c r="F21" s="47" t="s">
        <v>339</v>
      </c>
      <c r="G21" s="49">
        <f>'1.1'!H21</f>
        <v>44924</v>
      </c>
      <c r="H21" s="139">
        <v>5</v>
      </c>
      <c r="I21" s="209" t="s">
        <v>111</v>
      </c>
      <c r="J21" s="70"/>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row>
    <row r="22" spans="1:96" ht="16" customHeight="1">
      <c r="A22" s="107" t="s">
        <v>16</v>
      </c>
      <c r="B22" s="50" t="s">
        <v>92</v>
      </c>
      <c r="C22" s="88">
        <f t="shared" si="0"/>
        <v>2</v>
      </c>
      <c r="D22" s="140" t="s">
        <v>121</v>
      </c>
      <c r="E22" s="140" t="s">
        <v>121</v>
      </c>
      <c r="F22" s="47" t="s">
        <v>341</v>
      </c>
      <c r="G22" s="49">
        <f>'1.1'!H22</f>
        <v>44916</v>
      </c>
      <c r="H22" s="47" t="s">
        <v>142</v>
      </c>
      <c r="I22" s="209" t="s">
        <v>111</v>
      </c>
    </row>
    <row r="23" spans="1:96" ht="16" customHeight="1">
      <c r="A23" s="107" t="s">
        <v>17</v>
      </c>
      <c r="B23" s="50" t="s">
        <v>92</v>
      </c>
      <c r="C23" s="88">
        <f t="shared" si="0"/>
        <v>2</v>
      </c>
      <c r="D23" s="140" t="s">
        <v>121</v>
      </c>
      <c r="E23" s="140" t="s">
        <v>121</v>
      </c>
      <c r="F23" s="47" t="s">
        <v>342</v>
      </c>
      <c r="G23" s="49">
        <f>'1.1'!H23</f>
        <v>44918</v>
      </c>
      <c r="H23" s="47" t="s">
        <v>147</v>
      </c>
      <c r="I23" s="209" t="s">
        <v>111</v>
      </c>
    </row>
    <row r="24" spans="1:96" ht="16" customHeight="1">
      <c r="A24" s="107" t="s">
        <v>545</v>
      </c>
      <c r="B24" s="50" t="s">
        <v>91</v>
      </c>
      <c r="C24" s="88">
        <f t="shared" si="0"/>
        <v>0</v>
      </c>
      <c r="D24" s="140" t="s">
        <v>122</v>
      </c>
      <c r="E24" s="140" t="s">
        <v>122</v>
      </c>
      <c r="F24" s="47">
        <v>30</v>
      </c>
      <c r="G24" s="49">
        <f>'1.1'!H24</f>
        <v>44867</v>
      </c>
      <c r="H24" s="47" t="s">
        <v>122</v>
      </c>
      <c r="I24" s="136" t="s">
        <v>665</v>
      </c>
    </row>
    <row r="25" spans="1:96" ht="16" customHeight="1">
      <c r="A25" s="120" t="s">
        <v>18</v>
      </c>
      <c r="B25" s="85"/>
      <c r="C25" s="43"/>
      <c r="D25" s="226"/>
      <c r="E25" s="226"/>
      <c r="F25" s="226"/>
      <c r="G25" s="44"/>
      <c r="H25" s="42"/>
      <c r="I25" s="210"/>
    </row>
    <row r="26" spans="1:96" ht="16" customHeight="1">
      <c r="A26" s="107" t="s">
        <v>19</v>
      </c>
      <c r="B26" s="50" t="s">
        <v>92</v>
      </c>
      <c r="C26" s="88">
        <f t="shared" si="0"/>
        <v>2</v>
      </c>
      <c r="D26" s="140" t="s">
        <v>121</v>
      </c>
      <c r="E26" s="140" t="s">
        <v>121</v>
      </c>
      <c r="F26" s="47" t="s">
        <v>345</v>
      </c>
      <c r="G26" s="49">
        <f>'1.1'!H26</f>
        <v>44916</v>
      </c>
      <c r="H26" s="47">
        <v>2</v>
      </c>
      <c r="I26" s="209" t="s">
        <v>111</v>
      </c>
    </row>
    <row r="27" spans="1:96" ht="16" customHeight="1">
      <c r="A27" s="107" t="s">
        <v>20</v>
      </c>
      <c r="B27" s="50" t="s">
        <v>91</v>
      </c>
      <c r="C27" s="88">
        <f t="shared" si="0"/>
        <v>0</v>
      </c>
      <c r="D27" s="140" t="s">
        <v>122</v>
      </c>
      <c r="E27" s="140" t="s">
        <v>122</v>
      </c>
      <c r="F27" s="47" t="s">
        <v>346</v>
      </c>
      <c r="G27" s="49">
        <f>'1.1'!H27</f>
        <v>44900</v>
      </c>
      <c r="H27" s="47" t="s">
        <v>122</v>
      </c>
      <c r="I27" s="136" t="s">
        <v>665</v>
      </c>
    </row>
    <row r="28" spans="1:96" ht="16" customHeight="1">
      <c r="A28" s="107" t="s">
        <v>21</v>
      </c>
      <c r="B28" s="50" t="s">
        <v>92</v>
      </c>
      <c r="C28" s="88">
        <f t="shared" si="0"/>
        <v>2</v>
      </c>
      <c r="D28" s="140" t="s">
        <v>121</v>
      </c>
      <c r="E28" s="140" t="s">
        <v>121</v>
      </c>
      <c r="F28" s="47" t="s">
        <v>347</v>
      </c>
      <c r="G28" s="49">
        <f>'1.1'!H28</f>
        <v>44915</v>
      </c>
      <c r="H28" s="47">
        <v>3</v>
      </c>
      <c r="I28" s="209" t="s">
        <v>111</v>
      </c>
    </row>
    <row r="29" spans="1:96" ht="16" customHeight="1">
      <c r="A29" s="107" t="s">
        <v>22</v>
      </c>
      <c r="B29" s="50" t="s">
        <v>92</v>
      </c>
      <c r="C29" s="88">
        <f t="shared" si="0"/>
        <v>2</v>
      </c>
      <c r="D29" s="140" t="s">
        <v>121</v>
      </c>
      <c r="E29" s="140" t="s">
        <v>121</v>
      </c>
      <c r="F29" s="47" t="s">
        <v>348</v>
      </c>
      <c r="G29" s="49">
        <f>'1.1'!H29</f>
        <v>44908</v>
      </c>
      <c r="H29" s="47">
        <v>2</v>
      </c>
      <c r="I29" s="209" t="s">
        <v>111</v>
      </c>
    </row>
    <row r="30" spans="1:96" ht="16" customHeight="1">
      <c r="A30" s="107" t="s">
        <v>23</v>
      </c>
      <c r="B30" s="50" t="s">
        <v>92</v>
      </c>
      <c r="C30" s="88">
        <f t="shared" si="0"/>
        <v>2</v>
      </c>
      <c r="D30" s="140" t="s">
        <v>121</v>
      </c>
      <c r="E30" s="140" t="s">
        <v>121</v>
      </c>
      <c r="F30" s="47">
        <v>167</v>
      </c>
      <c r="G30" s="49">
        <f>'1.1'!H30</f>
        <v>44917</v>
      </c>
      <c r="H30" s="54" t="s">
        <v>146</v>
      </c>
      <c r="I30" s="209" t="s">
        <v>111</v>
      </c>
    </row>
    <row r="31" spans="1:96" ht="16" customHeight="1">
      <c r="A31" s="107" t="s">
        <v>24</v>
      </c>
      <c r="B31" s="50" t="s">
        <v>92</v>
      </c>
      <c r="C31" s="88">
        <f t="shared" si="0"/>
        <v>2</v>
      </c>
      <c r="D31" s="140" t="s">
        <v>121</v>
      </c>
      <c r="E31" s="140" t="s">
        <v>121</v>
      </c>
      <c r="F31" s="47" t="s">
        <v>343</v>
      </c>
      <c r="G31" s="49">
        <f>'1.1'!H31</f>
        <v>44914</v>
      </c>
      <c r="H31" s="47">
        <v>1</v>
      </c>
      <c r="I31" s="209" t="s">
        <v>111</v>
      </c>
    </row>
    <row r="32" spans="1:96" ht="16" customHeight="1">
      <c r="A32" s="107" t="s">
        <v>25</v>
      </c>
      <c r="B32" s="50" t="s">
        <v>92</v>
      </c>
      <c r="C32" s="88">
        <f t="shared" si="0"/>
        <v>2</v>
      </c>
      <c r="D32" s="140" t="s">
        <v>121</v>
      </c>
      <c r="E32" s="140" t="s">
        <v>121</v>
      </c>
      <c r="F32" s="47" t="s">
        <v>349</v>
      </c>
      <c r="G32" s="49">
        <f>'1.1'!H32</f>
        <v>44915</v>
      </c>
      <c r="H32" s="47" t="s">
        <v>350</v>
      </c>
      <c r="I32" s="209" t="s">
        <v>111</v>
      </c>
    </row>
    <row r="33" spans="1:98" ht="16" customHeight="1">
      <c r="A33" s="107" t="s">
        <v>26</v>
      </c>
      <c r="B33" s="50" t="s">
        <v>91</v>
      </c>
      <c r="C33" s="88">
        <f t="shared" si="0"/>
        <v>0</v>
      </c>
      <c r="D33" s="140" t="s">
        <v>122</v>
      </c>
      <c r="E33" s="140" t="s">
        <v>121</v>
      </c>
      <c r="F33" s="47" t="s">
        <v>352</v>
      </c>
      <c r="G33" s="49">
        <f>'1.1'!H33</f>
        <v>44917</v>
      </c>
      <c r="H33" s="47">
        <v>1</v>
      </c>
      <c r="I33" s="136" t="s">
        <v>190</v>
      </c>
      <c r="J33" s="70" t="s">
        <v>111</v>
      </c>
    </row>
    <row r="34" spans="1:98" ht="16" customHeight="1">
      <c r="A34" s="107" t="s">
        <v>27</v>
      </c>
      <c r="B34" s="50" t="s">
        <v>92</v>
      </c>
      <c r="C34" s="88">
        <f t="shared" si="0"/>
        <v>2</v>
      </c>
      <c r="D34" s="140" t="s">
        <v>121</v>
      </c>
      <c r="E34" s="140" t="s">
        <v>121</v>
      </c>
      <c r="F34" s="47" t="s">
        <v>353</v>
      </c>
      <c r="G34" s="49">
        <f>'1.1'!H34</f>
        <v>44924</v>
      </c>
      <c r="H34" s="47" t="s">
        <v>142</v>
      </c>
      <c r="I34" s="209" t="s">
        <v>111</v>
      </c>
    </row>
    <row r="35" spans="1:98" ht="16" customHeight="1">
      <c r="A35" s="107" t="s">
        <v>546</v>
      </c>
      <c r="B35" s="50" t="s">
        <v>92</v>
      </c>
      <c r="C35" s="88">
        <f t="shared" si="0"/>
        <v>2</v>
      </c>
      <c r="D35" s="140" t="s">
        <v>121</v>
      </c>
      <c r="E35" s="140" t="s">
        <v>121</v>
      </c>
      <c r="F35" s="47" t="s">
        <v>344</v>
      </c>
      <c r="G35" s="49">
        <f>'1.1'!H35</f>
        <v>44888</v>
      </c>
      <c r="H35" s="47">
        <v>1</v>
      </c>
      <c r="I35" s="209" t="s">
        <v>111</v>
      </c>
    </row>
    <row r="36" spans="1:98" ht="16" customHeight="1">
      <c r="A36" s="107" t="s">
        <v>28</v>
      </c>
      <c r="B36" s="50" t="s">
        <v>92</v>
      </c>
      <c r="C36" s="88">
        <f t="shared" si="0"/>
        <v>2</v>
      </c>
      <c r="D36" s="140" t="s">
        <v>121</v>
      </c>
      <c r="E36" s="140" t="s">
        <v>121</v>
      </c>
      <c r="F36" s="47" t="s">
        <v>354</v>
      </c>
      <c r="G36" s="49">
        <f>'1.1'!H36</f>
        <v>44917</v>
      </c>
      <c r="H36" s="47">
        <v>2</v>
      </c>
      <c r="I36" s="209" t="s">
        <v>111</v>
      </c>
    </row>
    <row r="37" spans="1:98" ht="16" customHeight="1">
      <c r="A37" s="120" t="s">
        <v>29</v>
      </c>
      <c r="B37" s="85"/>
      <c r="C37" s="43"/>
      <c r="D37" s="226"/>
      <c r="E37" s="226"/>
      <c r="F37" s="226"/>
      <c r="G37" s="44"/>
      <c r="H37" s="42"/>
      <c r="I37" s="210"/>
    </row>
    <row r="38" spans="1:98" ht="16" customHeight="1">
      <c r="A38" s="107" t="s">
        <v>30</v>
      </c>
      <c r="B38" s="50" t="s">
        <v>92</v>
      </c>
      <c r="C38" s="88">
        <f t="shared" si="0"/>
        <v>2</v>
      </c>
      <c r="D38" s="140" t="s">
        <v>121</v>
      </c>
      <c r="E38" s="140" t="s">
        <v>121</v>
      </c>
      <c r="F38" s="47">
        <v>140</v>
      </c>
      <c r="G38" s="49">
        <f>'1.1'!H38</f>
        <v>44907</v>
      </c>
      <c r="H38" s="47" t="s">
        <v>142</v>
      </c>
      <c r="I38" s="209" t="s">
        <v>111</v>
      </c>
    </row>
    <row r="39" spans="1:98" s="31" customFormat="1" ht="16" customHeight="1">
      <c r="A39" s="107" t="s">
        <v>31</v>
      </c>
      <c r="B39" s="137" t="s">
        <v>92</v>
      </c>
      <c r="C39" s="138">
        <f t="shared" si="0"/>
        <v>2</v>
      </c>
      <c r="D39" s="227" t="s">
        <v>121</v>
      </c>
      <c r="E39" s="227" t="s">
        <v>121</v>
      </c>
      <c r="F39" s="47" t="s">
        <v>355</v>
      </c>
      <c r="G39" s="49">
        <f>'1.1'!H39</f>
        <v>44910</v>
      </c>
      <c r="H39" s="139">
        <v>3</v>
      </c>
      <c r="I39" s="209" t="s">
        <v>111</v>
      </c>
      <c r="J39" s="70"/>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row>
    <row r="40" spans="1:98" ht="16" customHeight="1">
      <c r="A40" s="107" t="s">
        <v>87</v>
      </c>
      <c r="B40" s="50" t="s">
        <v>92</v>
      </c>
      <c r="C40" s="88">
        <f t="shared" si="0"/>
        <v>2</v>
      </c>
      <c r="D40" s="140" t="s">
        <v>121</v>
      </c>
      <c r="E40" s="140" t="s">
        <v>121</v>
      </c>
      <c r="F40" s="47" t="s">
        <v>356</v>
      </c>
      <c r="G40" s="49">
        <f>'1.1'!H40</f>
        <v>44910</v>
      </c>
      <c r="H40" s="47" t="s">
        <v>163</v>
      </c>
      <c r="I40" s="209" t="s">
        <v>111</v>
      </c>
    </row>
    <row r="41" spans="1:98" ht="16" customHeight="1">
      <c r="A41" s="107" t="s">
        <v>32</v>
      </c>
      <c r="B41" s="50" t="s">
        <v>92</v>
      </c>
      <c r="C41" s="88">
        <f t="shared" si="0"/>
        <v>2</v>
      </c>
      <c r="D41" s="140" t="s">
        <v>121</v>
      </c>
      <c r="E41" s="140" t="s">
        <v>121</v>
      </c>
      <c r="F41" s="47" t="s">
        <v>358</v>
      </c>
      <c r="G41" s="49">
        <f>'1.1'!H41</f>
        <v>44918</v>
      </c>
      <c r="H41" s="47">
        <v>2</v>
      </c>
      <c r="I41" s="209" t="s">
        <v>111</v>
      </c>
    </row>
    <row r="42" spans="1:98" ht="16" customHeight="1">
      <c r="A42" s="107" t="s">
        <v>33</v>
      </c>
      <c r="B42" s="50" t="s">
        <v>92</v>
      </c>
      <c r="C42" s="88">
        <f t="shared" si="0"/>
        <v>2</v>
      </c>
      <c r="D42" s="140" t="s">
        <v>121</v>
      </c>
      <c r="E42" s="140" t="s">
        <v>121</v>
      </c>
      <c r="F42" s="47" t="s">
        <v>359</v>
      </c>
      <c r="G42" s="49">
        <f>'1.1'!H42</f>
        <v>44910</v>
      </c>
      <c r="H42" s="47" t="s">
        <v>142</v>
      </c>
      <c r="I42" s="209" t="s">
        <v>111</v>
      </c>
    </row>
    <row r="43" spans="1:98" ht="16" customHeight="1">
      <c r="A43" s="107" t="s">
        <v>34</v>
      </c>
      <c r="B43" s="50" t="s">
        <v>92</v>
      </c>
      <c r="C43" s="88">
        <f t="shared" si="0"/>
        <v>2</v>
      </c>
      <c r="D43" s="140" t="s">
        <v>121</v>
      </c>
      <c r="E43" s="140" t="s">
        <v>121</v>
      </c>
      <c r="F43" s="47" t="s">
        <v>360</v>
      </c>
      <c r="G43" s="49">
        <f>'1.1'!H43</f>
        <v>44900</v>
      </c>
      <c r="H43" s="47">
        <v>1</v>
      </c>
      <c r="I43" s="209" t="s">
        <v>111</v>
      </c>
    </row>
    <row r="44" spans="1:98" ht="16" customHeight="1">
      <c r="A44" s="107" t="s">
        <v>35</v>
      </c>
      <c r="B44" s="50" t="s">
        <v>92</v>
      </c>
      <c r="C44" s="88">
        <f t="shared" si="0"/>
        <v>2</v>
      </c>
      <c r="D44" s="140" t="s">
        <v>121</v>
      </c>
      <c r="E44" s="140" t="s">
        <v>121</v>
      </c>
      <c r="F44" s="47" t="s">
        <v>361</v>
      </c>
      <c r="G44" s="49">
        <f>'1.1'!H44</f>
        <v>44911</v>
      </c>
      <c r="H44" s="47">
        <v>1</v>
      </c>
      <c r="I44" s="209" t="s">
        <v>111</v>
      </c>
    </row>
    <row r="45" spans="1:98" ht="16" customHeight="1">
      <c r="A45" s="107" t="s">
        <v>222</v>
      </c>
      <c r="B45" s="50" t="s">
        <v>91</v>
      </c>
      <c r="C45" s="88">
        <f t="shared" si="0"/>
        <v>0</v>
      </c>
      <c r="D45" s="140" t="s">
        <v>122</v>
      </c>
      <c r="E45" s="140" t="s">
        <v>122</v>
      </c>
      <c r="F45" s="47" t="s">
        <v>357</v>
      </c>
      <c r="G45" s="49">
        <f>'1.1'!H45</f>
        <v>44915</v>
      </c>
      <c r="H45" s="47" t="s">
        <v>122</v>
      </c>
      <c r="I45" s="136" t="s">
        <v>665</v>
      </c>
    </row>
    <row r="46" spans="1:98" ht="16" customHeight="1">
      <c r="A46" s="120" t="s">
        <v>36</v>
      </c>
      <c r="B46" s="85"/>
      <c r="C46" s="42"/>
      <c r="D46" s="86"/>
      <c r="E46" s="86"/>
      <c r="F46" s="86"/>
      <c r="G46" s="44"/>
      <c r="H46" s="42"/>
      <c r="I46" s="210"/>
    </row>
    <row r="47" spans="1:98" ht="16" customHeight="1">
      <c r="A47" s="107" t="s">
        <v>37</v>
      </c>
      <c r="B47" s="50" t="s">
        <v>92</v>
      </c>
      <c r="C47" s="88">
        <f t="shared" si="0"/>
        <v>2</v>
      </c>
      <c r="D47" s="140" t="s">
        <v>121</v>
      </c>
      <c r="E47" s="140" t="s">
        <v>121</v>
      </c>
      <c r="F47" s="47">
        <v>95</v>
      </c>
      <c r="G47" s="49">
        <f>'1.1'!H47</f>
        <v>44907</v>
      </c>
      <c r="H47" s="47" t="s">
        <v>148</v>
      </c>
      <c r="I47" s="209" t="s">
        <v>111</v>
      </c>
    </row>
    <row r="48" spans="1:98" ht="16" customHeight="1">
      <c r="A48" s="107" t="s">
        <v>38</v>
      </c>
      <c r="B48" s="50" t="s">
        <v>92</v>
      </c>
      <c r="C48" s="88">
        <f t="shared" si="0"/>
        <v>2</v>
      </c>
      <c r="D48" s="140" t="s">
        <v>121</v>
      </c>
      <c r="E48" s="140" t="s">
        <v>121</v>
      </c>
      <c r="F48" s="47" t="s">
        <v>362</v>
      </c>
      <c r="G48" s="49">
        <f>'1.1'!H48</f>
        <v>44922</v>
      </c>
      <c r="H48" s="47">
        <v>4</v>
      </c>
      <c r="I48" s="209" t="s">
        <v>111</v>
      </c>
    </row>
    <row r="49" spans="1:10" ht="16" customHeight="1">
      <c r="A49" s="107" t="s">
        <v>39</v>
      </c>
      <c r="B49" s="50" t="s">
        <v>92</v>
      </c>
      <c r="C49" s="88">
        <f t="shared" si="0"/>
        <v>2</v>
      </c>
      <c r="D49" s="140" t="s">
        <v>121</v>
      </c>
      <c r="E49" s="140" t="s">
        <v>121</v>
      </c>
      <c r="F49" s="47" t="s">
        <v>363</v>
      </c>
      <c r="G49" s="49">
        <f>'1.1'!H49</f>
        <v>44924</v>
      </c>
      <c r="H49" s="47">
        <v>5</v>
      </c>
      <c r="I49" s="209" t="s">
        <v>111</v>
      </c>
    </row>
    <row r="50" spans="1:10" ht="16" customHeight="1">
      <c r="A50" s="107" t="s">
        <v>40</v>
      </c>
      <c r="B50" s="50" t="s">
        <v>92</v>
      </c>
      <c r="C50" s="88">
        <f t="shared" si="0"/>
        <v>2</v>
      </c>
      <c r="D50" s="140" t="s">
        <v>121</v>
      </c>
      <c r="E50" s="140" t="s">
        <v>121</v>
      </c>
      <c r="F50" s="47" t="s">
        <v>364</v>
      </c>
      <c r="G50" s="49">
        <f>'1.1'!H50</f>
        <v>44924</v>
      </c>
      <c r="H50" s="47">
        <v>2</v>
      </c>
      <c r="I50" s="209" t="s">
        <v>111</v>
      </c>
    </row>
    <row r="51" spans="1:10" ht="16" customHeight="1">
      <c r="A51" s="107" t="s">
        <v>547</v>
      </c>
      <c r="B51" s="50" t="s">
        <v>91</v>
      </c>
      <c r="C51" s="88">
        <f t="shared" si="0"/>
        <v>0</v>
      </c>
      <c r="D51" s="140" t="s">
        <v>122</v>
      </c>
      <c r="E51" s="140" t="s">
        <v>121</v>
      </c>
      <c r="F51" s="47" t="s">
        <v>365</v>
      </c>
      <c r="G51" s="49">
        <f>'1.1'!H51</f>
        <v>44921</v>
      </c>
      <c r="H51" s="47">
        <v>4</v>
      </c>
      <c r="I51" s="136" t="s">
        <v>246</v>
      </c>
      <c r="J51" s="70" t="s">
        <v>111</v>
      </c>
    </row>
    <row r="52" spans="1:10" ht="16" customHeight="1">
      <c r="A52" s="107" t="s">
        <v>41</v>
      </c>
      <c r="B52" s="50" t="s">
        <v>92</v>
      </c>
      <c r="C52" s="88">
        <f t="shared" si="0"/>
        <v>2</v>
      </c>
      <c r="D52" s="140" t="s">
        <v>121</v>
      </c>
      <c r="E52" s="140" t="s">
        <v>121</v>
      </c>
      <c r="F52" s="47" t="s">
        <v>366</v>
      </c>
      <c r="G52" s="49">
        <f>'1.1'!H52</f>
        <v>44922</v>
      </c>
      <c r="H52" s="47" t="s">
        <v>142</v>
      </c>
      <c r="I52" s="209" t="s">
        <v>111</v>
      </c>
    </row>
    <row r="53" spans="1:10" ht="16" customHeight="1">
      <c r="A53" s="107" t="s">
        <v>42</v>
      </c>
      <c r="B53" s="50" t="s">
        <v>92</v>
      </c>
      <c r="C53" s="88">
        <f t="shared" si="0"/>
        <v>2</v>
      </c>
      <c r="D53" s="140" t="s">
        <v>121</v>
      </c>
      <c r="E53" s="140" t="s">
        <v>121</v>
      </c>
      <c r="F53" s="47" t="s">
        <v>367</v>
      </c>
      <c r="G53" s="49">
        <f>'1.1'!H53</f>
        <v>44904</v>
      </c>
      <c r="H53" s="47">
        <v>5</v>
      </c>
      <c r="I53" s="209" t="s">
        <v>111</v>
      </c>
    </row>
    <row r="54" spans="1:10" ht="16" customHeight="1">
      <c r="A54" s="120" t="s">
        <v>43</v>
      </c>
      <c r="B54" s="85"/>
      <c r="C54" s="43"/>
      <c r="D54" s="226"/>
      <c r="E54" s="226"/>
      <c r="F54" s="226"/>
      <c r="G54" s="44"/>
      <c r="H54" s="42"/>
      <c r="I54" s="210"/>
    </row>
    <row r="55" spans="1:10" ht="16" customHeight="1">
      <c r="A55" s="107" t="s">
        <v>44</v>
      </c>
      <c r="B55" s="50" t="s">
        <v>92</v>
      </c>
      <c r="C55" s="88">
        <f t="shared" si="0"/>
        <v>2</v>
      </c>
      <c r="D55" s="140" t="s">
        <v>121</v>
      </c>
      <c r="E55" s="140" t="s">
        <v>121</v>
      </c>
      <c r="F55" s="47" t="s">
        <v>368</v>
      </c>
      <c r="G55" s="49">
        <f>'1.1'!H55</f>
        <v>44914</v>
      </c>
      <c r="H55" s="47">
        <v>6</v>
      </c>
      <c r="I55" s="209" t="s">
        <v>111</v>
      </c>
    </row>
    <row r="56" spans="1:10" ht="16" customHeight="1">
      <c r="A56" s="107" t="s">
        <v>548</v>
      </c>
      <c r="B56" s="50" t="s">
        <v>92</v>
      </c>
      <c r="C56" s="88">
        <f t="shared" si="0"/>
        <v>2</v>
      </c>
      <c r="D56" s="140" t="s">
        <v>121</v>
      </c>
      <c r="E56" s="140" t="s">
        <v>121</v>
      </c>
      <c r="F56" s="47" t="s">
        <v>369</v>
      </c>
      <c r="G56" s="49">
        <f>'1.1'!H56</f>
        <v>44900</v>
      </c>
      <c r="H56" s="47">
        <v>5</v>
      </c>
      <c r="I56" s="209" t="s">
        <v>111</v>
      </c>
    </row>
    <row r="57" spans="1:10" ht="16" customHeight="1">
      <c r="A57" s="107" t="s">
        <v>45</v>
      </c>
      <c r="B57" s="50" t="s">
        <v>91</v>
      </c>
      <c r="C57" s="88">
        <f t="shared" si="0"/>
        <v>0</v>
      </c>
      <c r="D57" s="140" t="s">
        <v>122</v>
      </c>
      <c r="E57" s="140" t="s">
        <v>121</v>
      </c>
      <c r="F57" s="47" t="s">
        <v>370</v>
      </c>
      <c r="G57" s="49">
        <f>'1.1'!H57</f>
        <v>44923</v>
      </c>
      <c r="H57" s="140">
        <v>2</v>
      </c>
      <c r="I57" s="136" t="s">
        <v>189</v>
      </c>
      <c r="J57" s="70" t="s">
        <v>111</v>
      </c>
    </row>
    <row r="58" spans="1:10" ht="16" customHeight="1">
      <c r="A58" s="107" t="s">
        <v>46</v>
      </c>
      <c r="B58" s="50" t="s">
        <v>92</v>
      </c>
      <c r="C58" s="88">
        <f t="shared" si="0"/>
        <v>2</v>
      </c>
      <c r="D58" s="140" t="s">
        <v>121</v>
      </c>
      <c r="E58" s="140" t="s">
        <v>121</v>
      </c>
      <c r="F58" s="47" t="s">
        <v>371</v>
      </c>
      <c r="G58" s="49">
        <f>'1.1'!H58</f>
        <v>44888</v>
      </c>
      <c r="H58" s="47">
        <v>3</v>
      </c>
      <c r="I58" s="209" t="s">
        <v>111</v>
      </c>
    </row>
    <row r="59" spans="1:10" ht="16" customHeight="1">
      <c r="A59" s="107" t="s">
        <v>47</v>
      </c>
      <c r="B59" s="50" t="s">
        <v>92</v>
      </c>
      <c r="C59" s="88">
        <f t="shared" si="0"/>
        <v>2</v>
      </c>
      <c r="D59" s="140" t="s">
        <v>121</v>
      </c>
      <c r="E59" s="140" t="s">
        <v>121</v>
      </c>
      <c r="F59" s="47" t="s">
        <v>372</v>
      </c>
      <c r="G59" s="49">
        <f>'1.1'!H59</f>
        <v>44921</v>
      </c>
      <c r="H59" s="47">
        <v>1</v>
      </c>
      <c r="I59" s="209" t="s">
        <v>111</v>
      </c>
    </row>
    <row r="60" spans="1:10" ht="16" customHeight="1">
      <c r="A60" s="107" t="s">
        <v>549</v>
      </c>
      <c r="B60" s="50" t="s">
        <v>92</v>
      </c>
      <c r="C60" s="88">
        <f t="shared" si="0"/>
        <v>2</v>
      </c>
      <c r="D60" s="140" t="s">
        <v>121</v>
      </c>
      <c r="E60" s="140" t="s">
        <v>121</v>
      </c>
      <c r="F60" s="47">
        <v>110</v>
      </c>
      <c r="G60" s="49">
        <f>'1.1'!H60</f>
        <v>44894</v>
      </c>
      <c r="H60" s="47">
        <v>4</v>
      </c>
      <c r="I60" s="209" t="s">
        <v>111</v>
      </c>
    </row>
    <row r="61" spans="1:10" ht="16" customHeight="1">
      <c r="A61" s="107" t="s">
        <v>48</v>
      </c>
      <c r="B61" s="50" t="s">
        <v>91</v>
      </c>
      <c r="C61" s="88">
        <f t="shared" si="0"/>
        <v>0</v>
      </c>
      <c r="D61" s="140" t="s">
        <v>122</v>
      </c>
      <c r="E61" s="140" t="s">
        <v>121</v>
      </c>
      <c r="F61" s="47" t="s">
        <v>373</v>
      </c>
      <c r="G61" s="49">
        <f>'1.1'!H61</f>
        <v>44895</v>
      </c>
      <c r="H61" s="140">
        <v>7</v>
      </c>
      <c r="I61" s="136" t="s">
        <v>189</v>
      </c>
      <c r="J61" s="70" t="s">
        <v>111</v>
      </c>
    </row>
    <row r="62" spans="1:10" ht="16" customHeight="1">
      <c r="A62" s="107" t="s">
        <v>49</v>
      </c>
      <c r="B62" s="50" t="s">
        <v>92</v>
      </c>
      <c r="C62" s="88">
        <f t="shared" si="0"/>
        <v>2</v>
      </c>
      <c r="D62" s="140" t="s">
        <v>121</v>
      </c>
      <c r="E62" s="140" t="s">
        <v>121</v>
      </c>
      <c r="F62" s="47" t="s">
        <v>374</v>
      </c>
      <c r="G62" s="49">
        <f>'1.1'!H62</f>
        <v>44914</v>
      </c>
      <c r="H62" s="47" t="s">
        <v>151</v>
      </c>
      <c r="I62" s="209" t="s">
        <v>111</v>
      </c>
    </row>
    <row r="63" spans="1:10" ht="16" customHeight="1">
      <c r="A63" s="107" t="s">
        <v>550</v>
      </c>
      <c r="B63" s="50" t="s">
        <v>92</v>
      </c>
      <c r="C63" s="88">
        <f t="shared" si="0"/>
        <v>2</v>
      </c>
      <c r="D63" s="140" t="s">
        <v>121</v>
      </c>
      <c r="E63" s="140" t="s">
        <v>121</v>
      </c>
      <c r="F63" s="47" t="s">
        <v>375</v>
      </c>
      <c r="G63" s="49">
        <f>'1.1'!H63</f>
        <v>44915</v>
      </c>
      <c r="H63" s="47">
        <v>1</v>
      </c>
      <c r="I63" s="209" t="s">
        <v>111</v>
      </c>
    </row>
    <row r="64" spans="1:10" ht="16" customHeight="1">
      <c r="A64" s="107" t="s">
        <v>50</v>
      </c>
      <c r="B64" s="50" t="s">
        <v>92</v>
      </c>
      <c r="C64" s="88">
        <f t="shared" si="0"/>
        <v>2</v>
      </c>
      <c r="D64" s="140" t="s">
        <v>121</v>
      </c>
      <c r="E64" s="140" t="s">
        <v>121</v>
      </c>
      <c r="F64" s="47" t="s">
        <v>376</v>
      </c>
      <c r="G64" s="49">
        <f>'1.1'!H64</f>
        <v>44910</v>
      </c>
      <c r="H64" s="47">
        <v>1</v>
      </c>
      <c r="I64" s="209" t="s">
        <v>111</v>
      </c>
    </row>
    <row r="65" spans="1:10" ht="16" customHeight="1">
      <c r="A65" s="107" t="s">
        <v>51</v>
      </c>
      <c r="B65" s="50" t="s">
        <v>92</v>
      </c>
      <c r="C65" s="88">
        <f t="shared" si="0"/>
        <v>2</v>
      </c>
      <c r="D65" s="140" t="s">
        <v>121</v>
      </c>
      <c r="E65" s="140" t="s">
        <v>121</v>
      </c>
      <c r="F65" s="47" t="s">
        <v>377</v>
      </c>
      <c r="G65" s="49">
        <f>'1.1'!H65</f>
        <v>44911</v>
      </c>
      <c r="H65" s="47" t="s">
        <v>143</v>
      </c>
      <c r="I65" s="209" t="s">
        <v>111</v>
      </c>
    </row>
    <row r="66" spans="1:10" ht="16" customHeight="1">
      <c r="A66" s="107" t="s">
        <v>52</v>
      </c>
      <c r="B66" s="50" t="s">
        <v>91</v>
      </c>
      <c r="C66" s="88">
        <f t="shared" si="0"/>
        <v>0</v>
      </c>
      <c r="D66" s="140" t="s">
        <v>122</v>
      </c>
      <c r="E66" s="140" t="s">
        <v>122</v>
      </c>
      <c r="F66" s="47" t="s">
        <v>378</v>
      </c>
      <c r="G66" s="49">
        <f>'1.1'!H66</f>
        <v>44895</v>
      </c>
      <c r="H66" s="47" t="s">
        <v>122</v>
      </c>
      <c r="I66" s="136" t="s">
        <v>665</v>
      </c>
    </row>
    <row r="67" spans="1:10" ht="16" customHeight="1">
      <c r="A67" s="107" t="s">
        <v>53</v>
      </c>
      <c r="B67" s="50" t="s">
        <v>92</v>
      </c>
      <c r="C67" s="88">
        <f t="shared" si="0"/>
        <v>2</v>
      </c>
      <c r="D67" s="140" t="s">
        <v>121</v>
      </c>
      <c r="E67" s="140" t="s">
        <v>121</v>
      </c>
      <c r="F67" s="47" t="s">
        <v>379</v>
      </c>
      <c r="G67" s="49">
        <f>'1.1'!H67</f>
        <v>44895</v>
      </c>
      <c r="H67" s="47">
        <v>1</v>
      </c>
      <c r="I67" s="209" t="s">
        <v>111</v>
      </c>
    </row>
    <row r="68" spans="1:10" ht="16" customHeight="1">
      <c r="A68" s="107" t="s">
        <v>54</v>
      </c>
      <c r="B68" s="50" t="s">
        <v>91</v>
      </c>
      <c r="C68" s="88">
        <f t="shared" si="0"/>
        <v>0</v>
      </c>
      <c r="D68" s="140" t="s">
        <v>122</v>
      </c>
      <c r="E68" s="140" t="s">
        <v>122</v>
      </c>
      <c r="F68" s="47" t="s">
        <v>380</v>
      </c>
      <c r="G68" s="49">
        <f>'1.1'!H68</f>
        <v>44903</v>
      </c>
      <c r="H68" s="47" t="s">
        <v>122</v>
      </c>
      <c r="I68" s="136" t="s">
        <v>665</v>
      </c>
    </row>
    <row r="69" spans="1:10" ht="16" customHeight="1">
      <c r="A69" s="120" t="s">
        <v>55</v>
      </c>
      <c r="B69" s="85"/>
      <c r="C69" s="43"/>
      <c r="D69" s="226"/>
      <c r="E69" s="226"/>
      <c r="F69" s="226"/>
      <c r="G69" s="44"/>
      <c r="H69" s="42"/>
      <c r="I69" s="210"/>
    </row>
    <row r="70" spans="1:10" ht="16" customHeight="1">
      <c r="A70" s="107" t="s">
        <v>56</v>
      </c>
      <c r="B70" s="50" t="s">
        <v>91</v>
      </c>
      <c r="C70" s="88">
        <f t="shared" si="0"/>
        <v>0</v>
      </c>
      <c r="D70" s="140" t="s">
        <v>651</v>
      </c>
      <c r="E70" s="140" t="s">
        <v>121</v>
      </c>
      <c r="F70" s="47">
        <v>101</v>
      </c>
      <c r="G70" s="49">
        <f>'1.1'!H70</f>
        <v>44923</v>
      </c>
      <c r="H70" s="47">
        <v>3</v>
      </c>
      <c r="I70" s="136" t="s">
        <v>652</v>
      </c>
      <c r="J70" s="70" t="s">
        <v>111</v>
      </c>
    </row>
    <row r="71" spans="1:10" ht="16" customHeight="1">
      <c r="A71" s="107" t="s">
        <v>57</v>
      </c>
      <c r="B71" s="50" t="s">
        <v>92</v>
      </c>
      <c r="C71" s="88">
        <f t="shared" si="0"/>
        <v>2</v>
      </c>
      <c r="D71" s="140" t="s">
        <v>121</v>
      </c>
      <c r="E71" s="140" t="s">
        <v>121</v>
      </c>
      <c r="F71" s="47" t="s">
        <v>381</v>
      </c>
      <c r="G71" s="49">
        <f>'1.1'!H71</f>
        <v>44902</v>
      </c>
      <c r="H71" s="47">
        <v>4</v>
      </c>
      <c r="I71" s="209" t="s">
        <v>111</v>
      </c>
    </row>
    <row r="72" spans="1:10" ht="16" customHeight="1">
      <c r="A72" s="107" t="s">
        <v>58</v>
      </c>
      <c r="B72" s="50" t="s">
        <v>92</v>
      </c>
      <c r="C72" s="88">
        <f t="shared" ref="C72:C77" si="1">IF(B72="Да, содержится",2,0)</f>
        <v>2</v>
      </c>
      <c r="D72" s="140" t="s">
        <v>121</v>
      </c>
      <c r="E72" s="140" t="s">
        <v>121</v>
      </c>
      <c r="F72" s="47">
        <v>77</v>
      </c>
      <c r="G72" s="49">
        <f>'1.1'!H72</f>
        <v>44896</v>
      </c>
      <c r="H72" s="47" t="s">
        <v>145</v>
      </c>
      <c r="I72" s="209" t="s">
        <v>111</v>
      </c>
    </row>
    <row r="73" spans="1:10" ht="16" customHeight="1">
      <c r="A73" s="107" t="s">
        <v>59</v>
      </c>
      <c r="B73" s="50" t="s">
        <v>92</v>
      </c>
      <c r="C73" s="88">
        <f t="shared" si="1"/>
        <v>2</v>
      </c>
      <c r="D73" s="140" t="s">
        <v>121</v>
      </c>
      <c r="E73" s="140" t="s">
        <v>121</v>
      </c>
      <c r="F73" s="47" t="s">
        <v>382</v>
      </c>
      <c r="G73" s="49">
        <f>'1.1'!H73</f>
        <v>44922</v>
      </c>
      <c r="H73" s="47" t="s">
        <v>143</v>
      </c>
      <c r="I73" s="209" t="s">
        <v>111</v>
      </c>
    </row>
    <row r="74" spans="1:10" ht="16" customHeight="1">
      <c r="A74" s="107" t="s">
        <v>551</v>
      </c>
      <c r="B74" s="50" t="s">
        <v>92</v>
      </c>
      <c r="C74" s="88">
        <f t="shared" si="1"/>
        <v>2</v>
      </c>
      <c r="D74" s="140" t="s">
        <v>121</v>
      </c>
      <c r="E74" s="140" t="s">
        <v>121</v>
      </c>
      <c r="F74" s="47" t="s">
        <v>383</v>
      </c>
      <c r="G74" s="49">
        <f>'1.1'!H74</f>
        <v>44889</v>
      </c>
      <c r="H74" s="47" t="s">
        <v>142</v>
      </c>
      <c r="I74" s="209" t="s">
        <v>111</v>
      </c>
    </row>
    <row r="75" spans="1:10" ht="16" customHeight="1">
      <c r="A75" s="107" t="s">
        <v>60</v>
      </c>
      <c r="B75" s="50" t="s">
        <v>92</v>
      </c>
      <c r="C75" s="88">
        <f t="shared" si="1"/>
        <v>2</v>
      </c>
      <c r="D75" s="140" t="s">
        <v>121</v>
      </c>
      <c r="E75" s="140" t="s">
        <v>121</v>
      </c>
      <c r="F75" s="47" t="s">
        <v>384</v>
      </c>
      <c r="G75" s="49">
        <f>'1.1'!H75</f>
        <v>44889</v>
      </c>
      <c r="H75" s="47" t="s">
        <v>142</v>
      </c>
      <c r="I75" s="209" t="s">
        <v>111</v>
      </c>
    </row>
    <row r="76" spans="1:10" ht="16" customHeight="1">
      <c r="A76" s="120" t="s">
        <v>61</v>
      </c>
      <c r="B76" s="85"/>
      <c r="C76" s="43"/>
      <c r="D76" s="226"/>
      <c r="E76" s="226"/>
      <c r="F76" s="226"/>
      <c r="G76" s="44"/>
      <c r="H76" s="42"/>
      <c r="I76" s="210"/>
    </row>
    <row r="77" spans="1:10" ht="16" customHeight="1">
      <c r="A77" s="107" t="s">
        <v>62</v>
      </c>
      <c r="B77" s="50" t="s">
        <v>92</v>
      </c>
      <c r="C77" s="88">
        <f t="shared" si="1"/>
        <v>2</v>
      </c>
      <c r="D77" s="140" t="s">
        <v>121</v>
      </c>
      <c r="E77" s="140" t="s">
        <v>121</v>
      </c>
      <c r="F77" s="47" t="s">
        <v>385</v>
      </c>
      <c r="G77" s="49">
        <f>'1.1'!H77</f>
        <v>44915</v>
      </c>
      <c r="H77" s="47">
        <v>1</v>
      </c>
      <c r="I77" s="209" t="s">
        <v>111</v>
      </c>
    </row>
    <row r="78" spans="1:10" ht="16" customHeight="1">
      <c r="A78" s="107" t="s">
        <v>64</v>
      </c>
      <c r="B78" s="50" t="s">
        <v>92</v>
      </c>
      <c r="C78" s="88">
        <f t="shared" ref="C78:C86" si="2">IF(B78="Да, содержится",2,0)</f>
        <v>2</v>
      </c>
      <c r="D78" s="140" t="s">
        <v>121</v>
      </c>
      <c r="E78" s="140" t="s">
        <v>121</v>
      </c>
      <c r="F78" s="47" t="s">
        <v>386</v>
      </c>
      <c r="G78" s="49">
        <f>'1.1'!H78</f>
        <v>44910</v>
      </c>
      <c r="H78" s="140" t="s">
        <v>144</v>
      </c>
      <c r="I78" s="209" t="s">
        <v>111</v>
      </c>
    </row>
    <row r="79" spans="1:10" ht="16" customHeight="1">
      <c r="A79" s="107" t="s">
        <v>65</v>
      </c>
      <c r="B79" s="50" t="s">
        <v>92</v>
      </c>
      <c r="C79" s="88">
        <f t="shared" si="2"/>
        <v>2</v>
      </c>
      <c r="D79" s="140" t="s">
        <v>121</v>
      </c>
      <c r="E79" s="140" t="s">
        <v>121</v>
      </c>
      <c r="F79" s="47" t="s">
        <v>387</v>
      </c>
      <c r="G79" s="49">
        <f>'1.1'!H79</f>
        <v>44914</v>
      </c>
      <c r="H79" s="47" t="s">
        <v>147</v>
      </c>
      <c r="I79" s="209" t="s">
        <v>111</v>
      </c>
    </row>
    <row r="80" spans="1:10" ht="16" customHeight="1">
      <c r="A80" s="107" t="s">
        <v>66</v>
      </c>
      <c r="B80" s="50" t="s">
        <v>91</v>
      </c>
      <c r="C80" s="88">
        <f t="shared" si="2"/>
        <v>0</v>
      </c>
      <c r="D80" s="140" t="s">
        <v>122</v>
      </c>
      <c r="E80" s="140" t="s">
        <v>122</v>
      </c>
      <c r="F80" s="47" t="s">
        <v>388</v>
      </c>
      <c r="G80" s="49">
        <f>'1.1'!H80</f>
        <v>44895</v>
      </c>
      <c r="H80" s="140" t="s">
        <v>122</v>
      </c>
      <c r="I80" s="136" t="s">
        <v>665</v>
      </c>
    </row>
    <row r="81" spans="1:10" ht="16" customHeight="1">
      <c r="A81" s="107" t="s">
        <v>68</v>
      </c>
      <c r="B81" s="50" t="s">
        <v>92</v>
      </c>
      <c r="C81" s="88">
        <f t="shared" si="2"/>
        <v>2</v>
      </c>
      <c r="D81" s="140" t="s">
        <v>121</v>
      </c>
      <c r="E81" s="140" t="s">
        <v>121</v>
      </c>
      <c r="F81" s="54" t="s">
        <v>389</v>
      </c>
      <c r="G81" s="49">
        <f>'1.1'!H81</f>
        <v>44915</v>
      </c>
      <c r="H81" s="47">
        <v>2</v>
      </c>
      <c r="I81" s="209" t="s">
        <v>111</v>
      </c>
    </row>
    <row r="82" spans="1:10" ht="16" customHeight="1">
      <c r="A82" s="107" t="s">
        <v>69</v>
      </c>
      <c r="B82" s="50" t="s">
        <v>92</v>
      </c>
      <c r="C82" s="88">
        <f t="shared" si="2"/>
        <v>2</v>
      </c>
      <c r="D82" s="140" t="s">
        <v>121</v>
      </c>
      <c r="E82" s="140" t="s">
        <v>121</v>
      </c>
      <c r="F82" s="47" t="s">
        <v>390</v>
      </c>
      <c r="G82" s="49">
        <f>'1.1'!H82</f>
        <v>44907</v>
      </c>
      <c r="H82" s="47" t="s">
        <v>144</v>
      </c>
      <c r="I82" s="209" t="s">
        <v>111</v>
      </c>
    </row>
    <row r="83" spans="1:10" ht="16" customHeight="1">
      <c r="A83" s="107" t="s">
        <v>552</v>
      </c>
      <c r="B83" s="50" t="s">
        <v>92</v>
      </c>
      <c r="C83" s="88">
        <f t="shared" si="2"/>
        <v>2</v>
      </c>
      <c r="D83" s="140" t="s">
        <v>121</v>
      </c>
      <c r="E83" s="140" t="s">
        <v>121</v>
      </c>
      <c r="F83" s="47" t="s">
        <v>391</v>
      </c>
      <c r="G83" s="49">
        <f>'1.1'!H83</f>
        <v>44910</v>
      </c>
      <c r="H83" s="140">
        <v>5</v>
      </c>
      <c r="I83" s="209" t="s">
        <v>111</v>
      </c>
    </row>
    <row r="84" spans="1:10" ht="16" customHeight="1">
      <c r="A84" s="107" t="s">
        <v>70</v>
      </c>
      <c r="B84" s="50" t="s">
        <v>91</v>
      </c>
      <c r="C84" s="88">
        <f t="shared" si="2"/>
        <v>0</v>
      </c>
      <c r="D84" s="140" t="s">
        <v>122</v>
      </c>
      <c r="E84" s="140" t="s">
        <v>122</v>
      </c>
      <c r="F84" s="47" t="s">
        <v>392</v>
      </c>
      <c r="G84" s="49">
        <f>'1.1'!H84</f>
        <v>44918</v>
      </c>
      <c r="H84" s="140" t="s">
        <v>122</v>
      </c>
      <c r="I84" s="136" t="s">
        <v>665</v>
      </c>
    </row>
    <row r="85" spans="1:10" ht="16" customHeight="1">
      <c r="A85" s="107" t="s">
        <v>71</v>
      </c>
      <c r="B85" s="50" t="s">
        <v>92</v>
      </c>
      <c r="C85" s="88">
        <f t="shared" si="2"/>
        <v>2</v>
      </c>
      <c r="D85" s="140" t="s">
        <v>121</v>
      </c>
      <c r="E85" s="140" t="s">
        <v>121</v>
      </c>
      <c r="F85" s="47" t="s">
        <v>393</v>
      </c>
      <c r="G85" s="49">
        <f>'1.1'!H85</f>
        <v>44917</v>
      </c>
      <c r="H85" s="47" t="s">
        <v>147</v>
      </c>
      <c r="I85" s="209" t="s">
        <v>111</v>
      </c>
    </row>
    <row r="86" spans="1:10" ht="16" customHeight="1">
      <c r="A86" s="107" t="s">
        <v>72</v>
      </c>
      <c r="B86" s="50" t="s">
        <v>91</v>
      </c>
      <c r="C86" s="88">
        <f t="shared" si="2"/>
        <v>0</v>
      </c>
      <c r="D86" s="140" t="s">
        <v>122</v>
      </c>
      <c r="E86" s="140" t="s">
        <v>121</v>
      </c>
      <c r="F86" s="47" t="s">
        <v>394</v>
      </c>
      <c r="G86" s="49">
        <f>'1.1'!H86</f>
        <v>44923</v>
      </c>
      <c r="H86" s="140">
        <v>4</v>
      </c>
      <c r="I86" s="136" t="s">
        <v>189</v>
      </c>
      <c r="J86" s="70" t="s">
        <v>111</v>
      </c>
    </row>
    <row r="87" spans="1:10" ht="16" customHeight="1">
      <c r="A87" s="120" t="s">
        <v>73</v>
      </c>
      <c r="B87" s="85"/>
      <c r="C87" s="43"/>
      <c r="D87" s="226"/>
      <c r="E87" s="226"/>
      <c r="F87" s="226"/>
      <c r="G87" s="44"/>
      <c r="H87" s="42"/>
      <c r="I87" s="210"/>
    </row>
    <row r="88" spans="1:10" ht="16" customHeight="1">
      <c r="A88" s="107" t="s">
        <v>63</v>
      </c>
      <c r="B88" s="50" t="s">
        <v>92</v>
      </c>
      <c r="C88" s="88">
        <f t="shared" ref="C88:C98" si="3">IF(B88="Да, содержится",2,0)</f>
        <v>2</v>
      </c>
      <c r="D88" s="140" t="s">
        <v>121</v>
      </c>
      <c r="E88" s="140" t="s">
        <v>121</v>
      </c>
      <c r="F88" s="47" t="s">
        <v>395</v>
      </c>
      <c r="G88" s="49">
        <f>'1.1'!H88</f>
        <v>44916</v>
      </c>
      <c r="H88" s="54" t="s">
        <v>396</v>
      </c>
      <c r="I88" s="209" t="s">
        <v>111</v>
      </c>
    </row>
    <row r="89" spans="1:10" ht="16" customHeight="1">
      <c r="A89" s="107" t="s">
        <v>74</v>
      </c>
      <c r="B89" s="50" t="s">
        <v>92</v>
      </c>
      <c r="C89" s="88">
        <f t="shared" si="3"/>
        <v>2</v>
      </c>
      <c r="D89" s="140" t="s">
        <v>121</v>
      </c>
      <c r="E89" s="140" t="s">
        <v>121</v>
      </c>
      <c r="F89" s="47" t="s">
        <v>397</v>
      </c>
      <c r="G89" s="49">
        <f>'1.1'!H89</f>
        <v>44904</v>
      </c>
      <c r="H89" s="47">
        <v>1</v>
      </c>
      <c r="I89" s="209" t="s">
        <v>111</v>
      </c>
    </row>
    <row r="90" spans="1:10" ht="16" customHeight="1">
      <c r="A90" s="107" t="s">
        <v>67</v>
      </c>
      <c r="B90" s="50" t="s">
        <v>91</v>
      </c>
      <c r="C90" s="88">
        <f t="shared" si="3"/>
        <v>0</v>
      </c>
      <c r="D90" s="140" t="s">
        <v>122</v>
      </c>
      <c r="E90" s="140" t="s">
        <v>122</v>
      </c>
      <c r="F90" s="47" t="s">
        <v>398</v>
      </c>
      <c r="G90" s="49">
        <f>'1.1'!H90</f>
        <v>44917</v>
      </c>
      <c r="H90" s="140" t="s">
        <v>122</v>
      </c>
      <c r="I90" s="136" t="s">
        <v>665</v>
      </c>
    </row>
    <row r="91" spans="1:10" ht="16" customHeight="1">
      <c r="A91" s="107" t="s">
        <v>75</v>
      </c>
      <c r="B91" s="50" t="s">
        <v>92</v>
      </c>
      <c r="C91" s="88">
        <f t="shared" si="3"/>
        <v>2</v>
      </c>
      <c r="D91" s="140" t="s">
        <v>121</v>
      </c>
      <c r="E91" s="140" t="s">
        <v>121</v>
      </c>
      <c r="F91" s="47">
        <v>155</v>
      </c>
      <c r="G91" s="49">
        <f>'1.1'!H91</f>
        <v>44894</v>
      </c>
      <c r="H91" s="47" t="s">
        <v>399</v>
      </c>
      <c r="I91" s="209" t="s">
        <v>111</v>
      </c>
    </row>
    <row r="92" spans="1:10" ht="16" customHeight="1">
      <c r="A92" s="107" t="s">
        <v>553</v>
      </c>
      <c r="B92" s="50" t="s">
        <v>92</v>
      </c>
      <c r="C92" s="88">
        <f t="shared" si="3"/>
        <v>2</v>
      </c>
      <c r="D92" s="140" t="s">
        <v>121</v>
      </c>
      <c r="E92" s="140" t="s">
        <v>121</v>
      </c>
      <c r="F92" s="47" t="s">
        <v>401</v>
      </c>
      <c r="G92" s="49">
        <f>'1.1'!H92</f>
        <v>44915</v>
      </c>
      <c r="H92" s="47">
        <v>4</v>
      </c>
      <c r="I92" s="209" t="s">
        <v>111</v>
      </c>
    </row>
    <row r="93" spans="1:10" ht="16" customHeight="1">
      <c r="A93" s="107" t="s">
        <v>76</v>
      </c>
      <c r="B93" s="50" t="s">
        <v>92</v>
      </c>
      <c r="C93" s="88">
        <f t="shared" si="3"/>
        <v>2</v>
      </c>
      <c r="D93" s="140" t="s">
        <v>121</v>
      </c>
      <c r="E93" s="140" t="s">
        <v>121</v>
      </c>
      <c r="F93" s="47">
        <v>334</v>
      </c>
      <c r="G93" s="49">
        <f>'1.1'!H93</f>
        <v>44886</v>
      </c>
      <c r="H93" s="47" t="s">
        <v>143</v>
      </c>
      <c r="I93" s="209" t="s">
        <v>111</v>
      </c>
    </row>
    <row r="94" spans="1:10" ht="16" customHeight="1">
      <c r="A94" s="107" t="s">
        <v>77</v>
      </c>
      <c r="B94" s="50" t="s">
        <v>92</v>
      </c>
      <c r="C94" s="88">
        <f t="shared" si="3"/>
        <v>2</v>
      </c>
      <c r="D94" s="140" t="s">
        <v>121</v>
      </c>
      <c r="E94" s="140" t="s">
        <v>121</v>
      </c>
      <c r="F94" s="47" t="s">
        <v>402</v>
      </c>
      <c r="G94" s="49">
        <f>'1.1'!H94</f>
        <v>44908</v>
      </c>
      <c r="H94" s="47" t="s">
        <v>142</v>
      </c>
      <c r="I94" s="209" t="s">
        <v>111</v>
      </c>
    </row>
    <row r="95" spans="1:10" ht="16" customHeight="1">
      <c r="A95" s="107" t="s">
        <v>78</v>
      </c>
      <c r="B95" s="50" t="s">
        <v>92</v>
      </c>
      <c r="C95" s="88">
        <f t="shared" si="3"/>
        <v>2</v>
      </c>
      <c r="D95" s="140" t="s">
        <v>121</v>
      </c>
      <c r="E95" s="140" t="s">
        <v>121</v>
      </c>
      <c r="F95" s="47" t="s">
        <v>403</v>
      </c>
      <c r="G95" s="49">
        <f>'1.1'!H95</f>
        <v>44897</v>
      </c>
      <c r="H95" s="47">
        <v>1</v>
      </c>
      <c r="I95" s="209" t="s">
        <v>111</v>
      </c>
    </row>
    <row r="96" spans="1:10" ht="16" customHeight="1">
      <c r="A96" s="107" t="s">
        <v>79</v>
      </c>
      <c r="B96" s="50" t="s">
        <v>92</v>
      </c>
      <c r="C96" s="88">
        <f t="shared" si="3"/>
        <v>2</v>
      </c>
      <c r="D96" s="140" t="s">
        <v>121</v>
      </c>
      <c r="E96" s="140" t="s">
        <v>121</v>
      </c>
      <c r="F96" s="47" t="s">
        <v>404</v>
      </c>
      <c r="G96" s="49">
        <f>'1.1'!H96</f>
        <v>44921</v>
      </c>
      <c r="H96" s="47">
        <v>1</v>
      </c>
      <c r="I96" s="209" t="s">
        <v>111</v>
      </c>
    </row>
    <row r="97" spans="1:10" ht="16" customHeight="1">
      <c r="A97" s="107" t="s">
        <v>80</v>
      </c>
      <c r="B97" s="50" t="s">
        <v>92</v>
      </c>
      <c r="C97" s="88">
        <f t="shared" si="3"/>
        <v>2</v>
      </c>
      <c r="D97" s="140" t="s">
        <v>121</v>
      </c>
      <c r="E97" s="140" t="s">
        <v>121</v>
      </c>
      <c r="F97" s="47" t="s">
        <v>405</v>
      </c>
      <c r="G97" s="49">
        <f>'1.1'!H97</f>
        <v>44901</v>
      </c>
      <c r="H97" s="47" t="s">
        <v>144</v>
      </c>
      <c r="I97" s="209" t="s">
        <v>111</v>
      </c>
    </row>
    <row r="98" spans="1:10" ht="16" customHeight="1">
      <c r="A98" s="107" t="s">
        <v>81</v>
      </c>
      <c r="B98" s="50" t="s">
        <v>92</v>
      </c>
      <c r="C98" s="88">
        <f t="shared" si="3"/>
        <v>2</v>
      </c>
      <c r="D98" s="140" t="s">
        <v>121</v>
      </c>
      <c r="E98" s="140" t="s">
        <v>121</v>
      </c>
      <c r="F98" s="47" t="s">
        <v>330</v>
      </c>
      <c r="G98" s="49">
        <f>'1.1'!H98</f>
        <v>44531</v>
      </c>
      <c r="H98" s="47" t="s">
        <v>143</v>
      </c>
      <c r="I98" s="209" t="s">
        <v>111</v>
      </c>
    </row>
    <row r="99" spans="1:10">
      <c r="G99" s="75"/>
      <c r="I99"/>
    </row>
    <row r="100" spans="1:10">
      <c r="G100" s="75"/>
      <c r="I100"/>
    </row>
    <row r="101" spans="1:10">
      <c r="G101" s="75"/>
      <c r="I101"/>
    </row>
    <row r="102" spans="1:10">
      <c r="G102" s="75"/>
      <c r="I102"/>
    </row>
    <row r="103" spans="1:10">
      <c r="G103" s="75"/>
      <c r="I103"/>
    </row>
    <row r="104" spans="1:10">
      <c r="A104" s="4"/>
      <c r="B104" s="77"/>
      <c r="C104" s="6"/>
      <c r="D104" s="64"/>
      <c r="E104" s="64"/>
      <c r="G104" s="75"/>
      <c r="H104" s="75"/>
      <c r="I104"/>
    </row>
    <row r="105" spans="1:10">
      <c r="G105" s="75"/>
      <c r="I105"/>
    </row>
    <row r="106" spans="1:10">
      <c r="G106" s="75"/>
      <c r="I106"/>
    </row>
    <row r="107" spans="1:10">
      <c r="G107" s="75"/>
      <c r="I107"/>
    </row>
    <row r="108" spans="1:10" s="2" customFormat="1" ht="11">
      <c r="A108" s="4"/>
      <c r="B108" s="77"/>
      <c r="C108" s="6"/>
      <c r="D108" s="64"/>
      <c r="E108" s="64"/>
      <c r="F108" s="73"/>
      <c r="G108" s="75"/>
      <c r="H108" s="75"/>
      <c r="J108" s="141"/>
    </row>
    <row r="109" spans="1:10">
      <c r="G109" s="75"/>
      <c r="I109"/>
    </row>
    <row r="110" spans="1:10">
      <c r="G110" s="75"/>
      <c r="I110"/>
    </row>
    <row r="111" spans="1:10" s="2" customFormat="1" ht="11">
      <c r="A111" s="4"/>
      <c r="B111" s="77"/>
      <c r="C111" s="6"/>
      <c r="D111" s="64"/>
      <c r="E111" s="64"/>
      <c r="F111" s="73"/>
      <c r="G111" s="75"/>
      <c r="H111" s="75"/>
      <c r="J111" s="141"/>
    </row>
    <row r="112" spans="1:10">
      <c r="G112" s="75"/>
      <c r="I112"/>
    </row>
    <row r="113" spans="1:10">
      <c r="G113" s="75"/>
      <c r="I113"/>
    </row>
    <row r="114" spans="1:10">
      <c r="G114" s="75"/>
      <c r="I114"/>
    </row>
    <row r="115" spans="1:10" s="2" customFormat="1" ht="11">
      <c r="A115" s="4"/>
      <c r="B115" s="77"/>
      <c r="C115" s="6"/>
      <c r="D115" s="64"/>
      <c r="E115" s="64"/>
      <c r="F115" s="73"/>
      <c r="G115" s="75"/>
      <c r="H115" s="75"/>
      <c r="J115" s="141"/>
    </row>
    <row r="116" spans="1:10">
      <c r="G116" s="75"/>
      <c r="I116"/>
    </row>
    <row r="117" spans="1:10">
      <c r="G117" s="75"/>
      <c r="I117"/>
    </row>
    <row r="118" spans="1:10" s="2" customFormat="1" ht="11">
      <c r="A118" s="4"/>
      <c r="B118" s="77"/>
      <c r="C118" s="6"/>
      <c r="D118" s="64"/>
      <c r="E118" s="64"/>
      <c r="F118" s="73"/>
      <c r="G118" s="75"/>
      <c r="H118" s="75"/>
      <c r="J118" s="141"/>
    </row>
    <row r="119" spans="1:10">
      <c r="G119" s="75"/>
      <c r="I119"/>
    </row>
    <row r="120" spans="1:10">
      <c r="G120" s="75"/>
      <c r="I120"/>
    </row>
    <row r="121" spans="1:10">
      <c r="G121" s="75"/>
      <c r="I121"/>
    </row>
    <row r="122" spans="1:10" s="2" customFormat="1" ht="11">
      <c r="A122" s="4"/>
      <c r="B122" s="77"/>
      <c r="C122" s="6"/>
      <c r="D122" s="64"/>
      <c r="E122" s="64"/>
      <c r="F122" s="73"/>
      <c r="G122" s="75"/>
      <c r="H122" s="75"/>
      <c r="J122" s="141"/>
    </row>
    <row r="123" spans="1:10">
      <c r="G123" s="75"/>
      <c r="I123"/>
    </row>
    <row r="124" spans="1:10">
      <c r="G124" s="75"/>
      <c r="I124"/>
    </row>
    <row r="125" spans="1:10">
      <c r="G125" s="75"/>
      <c r="I125"/>
    </row>
    <row r="126" spans="1:10">
      <c r="G126" s="75"/>
      <c r="I126"/>
    </row>
    <row r="127" spans="1:10">
      <c r="G127" s="75"/>
      <c r="I127"/>
    </row>
    <row r="128" spans="1:10">
      <c r="G128" s="75"/>
      <c r="I128"/>
    </row>
    <row r="129" spans="7:9">
      <c r="G129" s="75"/>
      <c r="I129"/>
    </row>
    <row r="130" spans="7:9">
      <c r="G130" s="75"/>
      <c r="I130"/>
    </row>
    <row r="131" spans="7:9">
      <c r="G131" s="75"/>
      <c r="I131"/>
    </row>
    <row r="132" spans="7:9">
      <c r="G132" s="75"/>
      <c r="I132"/>
    </row>
    <row r="133" spans="7:9">
      <c r="G133" s="75"/>
      <c r="I133"/>
    </row>
    <row r="134" spans="7:9">
      <c r="G134" s="75"/>
      <c r="I134"/>
    </row>
    <row r="135" spans="7:9">
      <c r="G135" s="75"/>
      <c r="I135"/>
    </row>
    <row r="136" spans="7:9">
      <c r="G136" s="75"/>
      <c r="I136"/>
    </row>
    <row r="137" spans="7:9">
      <c r="G137" s="75"/>
      <c r="I137"/>
    </row>
    <row r="138" spans="7:9">
      <c r="G138" s="75"/>
      <c r="I138"/>
    </row>
    <row r="139" spans="7:9">
      <c r="G139" s="75"/>
      <c r="I139"/>
    </row>
    <row r="140" spans="7:9">
      <c r="G140" s="75"/>
      <c r="I140"/>
    </row>
    <row r="141" spans="7:9">
      <c r="G141" s="75"/>
      <c r="I141"/>
    </row>
    <row r="142" spans="7:9">
      <c r="G142" s="75"/>
      <c r="I142"/>
    </row>
    <row r="143" spans="7:9">
      <c r="G143" s="75"/>
      <c r="I143"/>
    </row>
    <row r="144" spans="7:9">
      <c r="G144" s="75"/>
      <c r="I144"/>
    </row>
    <row r="145" spans="7:9">
      <c r="G145" s="75"/>
      <c r="I145"/>
    </row>
    <row r="146" spans="7:9">
      <c r="G146" s="75"/>
      <c r="I146"/>
    </row>
    <row r="147" spans="7:9">
      <c r="G147" s="75"/>
      <c r="I147"/>
    </row>
    <row r="148" spans="7:9">
      <c r="G148" s="75"/>
      <c r="I148"/>
    </row>
    <row r="149" spans="7:9">
      <c r="G149" s="75"/>
      <c r="I149"/>
    </row>
    <row r="150" spans="7:9">
      <c r="G150" s="75"/>
      <c r="I150"/>
    </row>
    <row r="151" spans="7:9">
      <c r="G151" s="75"/>
      <c r="I151"/>
    </row>
    <row r="152" spans="7:9">
      <c r="G152" s="75"/>
      <c r="I152"/>
    </row>
    <row r="153" spans="7:9">
      <c r="G153" s="75"/>
      <c r="I153"/>
    </row>
    <row r="154" spans="7:9">
      <c r="G154" s="75"/>
      <c r="I154"/>
    </row>
    <row r="155" spans="7:9">
      <c r="G155" s="75"/>
      <c r="I155"/>
    </row>
    <row r="156" spans="7:9">
      <c r="G156" s="75"/>
      <c r="I156"/>
    </row>
    <row r="157" spans="7:9">
      <c r="G157" s="75"/>
      <c r="I157"/>
    </row>
    <row r="158" spans="7:9">
      <c r="G158" s="75"/>
      <c r="I158"/>
    </row>
    <row r="159" spans="7:9">
      <c r="G159" s="75"/>
      <c r="I159"/>
    </row>
    <row r="160" spans="7:9">
      <c r="G160" s="75"/>
      <c r="I160"/>
    </row>
    <row r="161" spans="7:9">
      <c r="G161" s="75"/>
      <c r="I161"/>
    </row>
    <row r="162" spans="7:9">
      <c r="G162" s="75"/>
      <c r="I162"/>
    </row>
    <row r="163" spans="7:9">
      <c r="G163" s="75"/>
      <c r="I163"/>
    </row>
    <row r="164" spans="7:9">
      <c r="G164" s="75"/>
      <c r="I164"/>
    </row>
    <row r="165" spans="7:9">
      <c r="G165" s="75"/>
      <c r="I165"/>
    </row>
    <row r="166" spans="7:9">
      <c r="G166" s="75"/>
      <c r="I166"/>
    </row>
    <row r="167" spans="7:9">
      <c r="G167" s="75"/>
      <c r="I167"/>
    </row>
    <row r="168" spans="7:9">
      <c r="G168" s="75"/>
      <c r="I168"/>
    </row>
    <row r="169" spans="7:9">
      <c r="G169" s="75"/>
      <c r="I169"/>
    </row>
    <row r="170" spans="7:9">
      <c r="G170" s="75"/>
      <c r="I170"/>
    </row>
    <row r="171" spans="7:9">
      <c r="G171" s="75"/>
      <c r="I171"/>
    </row>
    <row r="172" spans="7:9">
      <c r="G172" s="75"/>
      <c r="I172"/>
    </row>
    <row r="173" spans="7:9">
      <c r="G173" s="75"/>
      <c r="I173"/>
    </row>
    <row r="174" spans="7:9">
      <c r="G174" s="75"/>
      <c r="I174"/>
    </row>
    <row r="175" spans="7:9">
      <c r="G175" s="75"/>
      <c r="I175"/>
    </row>
    <row r="176" spans="7:9">
      <c r="G176" s="75"/>
      <c r="I176"/>
    </row>
    <row r="177" spans="7:9">
      <c r="G177" s="75"/>
      <c r="I177"/>
    </row>
    <row r="178" spans="7:9">
      <c r="G178" s="75"/>
      <c r="I178"/>
    </row>
    <row r="179" spans="7:9">
      <c r="G179" s="75"/>
      <c r="I179"/>
    </row>
    <row r="180" spans="7:9">
      <c r="G180" s="75"/>
      <c r="I180"/>
    </row>
    <row r="181" spans="7:9">
      <c r="G181" s="75"/>
      <c r="I181"/>
    </row>
    <row r="182" spans="7:9">
      <c r="G182" s="75"/>
      <c r="I182"/>
    </row>
    <row r="183" spans="7:9">
      <c r="G183" s="75"/>
      <c r="I183"/>
    </row>
    <row r="184" spans="7:9">
      <c r="G184" s="75"/>
      <c r="I184"/>
    </row>
    <row r="185" spans="7:9">
      <c r="G185" s="75"/>
      <c r="I185"/>
    </row>
    <row r="186" spans="7:9">
      <c r="G186" s="75"/>
      <c r="I186"/>
    </row>
    <row r="187" spans="7:9">
      <c r="G187" s="75"/>
      <c r="I187"/>
    </row>
    <row r="188" spans="7:9">
      <c r="G188" s="75"/>
      <c r="I188"/>
    </row>
    <row r="189" spans="7:9">
      <c r="G189" s="75"/>
      <c r="I189"/>
    </row>
    <row r="190" spans="7:9">
      <c r="G190" s="75"/>
      <c r="I190"/>
    </row>
    <row r="191" spans="7:9">
      <c r="G191" s="75"/>
      <c r="I191"/>
    </row>
    <row r="192" spans="7:9">
      <c r="G192" s="75"/>
      <c r="I192"/>
    </row>
    <row r="193" spans="7:9">
      <c r="G193" s="75"/>
      <c r="I193"/>
    </row>
    <row r="194" spans="7:9">
      <c r="G194" s="75"/>
      <c r="I194"/>
    </row>
    <row r="195" spans="7:9">
      <c r="G195" s="75"/>
      <c r="I195"/>
    </row>
    <row r="196" spans="7:9">
      <c r="G196" s="75"/>
      <c r="I196"/>
    </row>
    <row r="197" spans="7:9">
      <c r="G197" s="75"/>
      <c r="I197"/>
    </row>
    <row r="198" spans="7:9">
      <c r="G198" s="75"/>
      <c r="I198"/>
    </row>
    <row r="199" spans="7:9">
      <c r="G199" s="75"/>
      <c r="I199"/>
    </row>
    <row r="200" spans="7:9">
      <c r="G200" s="75"/>
      <c r="I200"/>
    </row>
    <row r="201" spans="7:9">
      <c r="G201" s="75"/>
      <c r="I201"/>
    </row>
    <row r="202" spans="7:9">
      <c r="G202" s="75"/>
      <c r="I202"/>
    </row>
    <row r="203" spans="7:9">
      <c r="G203" s="75"/>
      <c r="I203"/>
    </row>
    <row r="204" spans="7:9">
      <c r="G204" s="75"/>
      <c r="I204"/>
    </row>
    <row r="205" spans="7:9">
      <c r="G205" s="75"/>
      <c r="I205"/>
    </row>
    <row r="206" spans="7:9">
      <c r="G206" s="75"/>
      <c r="I206"/>
    </row>
    <row r="207" spans="7:9">
      <c r="G207" s="75"/>
      <c r="I207"/>
    </row>
    <row r="208" spans="7:9">
      <c r="G208" s="75"/>
      <c r="I208"/>
    </row>
    <row r="209" spans="7:9">
      <c r="G209" s="75"/>
      <c r="I209"/>
    </row>
    <row r="210" spans="7:9">
      <c r="G210" s="75"/>
      <c r="I210"/>
    </row>
    <row r="211" spans="7:9">
      <c r="G211" s="75"/>
      <c r="I211"/>
    </row>
    <row r="212" spans="7:9">
      <c r="G212" s="75"/>
      <c r="I212"/>
    </row>
    <row r="213" spans="7:9">
      <c r="G213" s="75"/>
      <c r="I213"/>
    </row>
    <row r="214" spans="7:9">
      <c r="G214" s="75"/>
      <c r="I214"/>
    </row>
    <row r="215" spans="7:9">
      <c r="G215" s="75"/>
      <c r="I215"/>
    </row>
    <row r="216" spans="7:9">
      <c r="G216" s="75"/>
      <c r="I216"/>
    </row>
    <row r="217" spans="7:9">
      <c r="G217" s="75"/>
      <c r="I217"/>
    </row>
    <row r="218" spans="7:9">
      <c r="G218" s="75"/>
      <c r="I218"/>
    </row>
    <row r="219" spans="7:9">
      <c r="G219" s="75"/>
      <c r="I219"/>
    </row>
    <row r="220" spans="7:9">
      <c r="G220" s="75"/>
      <c r="I220"/>
    </row>
    <row r="221" spans="7:9">
      <c r="G221" s="75"/>
      <c r="I221"/>
    </row>
    <row r="222" spans="7:9">
      <c r="G222" s="75"/>
      <c r="I222"/>
    </row>
    <row r="223" spans="7:9">
      <c r="G223" s="75"/>
      <c r="I223"/>
    </row>
    <row r="224" spans="7:9">
      <c r="G224" s="75"/>
      <c r="I224"/>
    </row>
    <row r="225" spans="7:9">
      <c r="G225" s="75"/>
      <c r="I225"/>
    </row>
    <row r="226" spans="7:9">
      <c r="G226" s="75"/>
      <c r="I226"/>
    </row>
    <row r="227" spans="7:9">
      <c r="G227" s="75"/>
      <c r="I227"/>
    </row>
    <row r="228" spans="7:9">
      <c r="G228" s="75"/>
      <c r="I228"/>
    </row>
    <row r="229" spans="7:9">
      <c r="G229" s="75"/>
      <c r="I229"/>
    </row>
    <row r="230" spans="7:9">
      <c r="G230" s="75"/>
      <c r="I230"/>
    </row>
    <row r="231" spans="7:9">
      <c r="G231" s="75"/>
      <c r="I231"/>
    </row>
    <row r="232" spans="7:9">
      <c r="G232" s="75"/>
      <c r="I232"/>
    </row>
    <row r="233" spans="7:9">
      <c r="G233" s="75"/>
      <c r="I233"/>
    </row>
    <row r="234" spans="7:9">
      <c r="G234" s="75"/>
      <c r="I234"/>
    </row>
    <row r="235" spans="7:9">
      <c r="G235" s="75"/>
      <c r="I235"/>
    </row>
    <row r="236" spans="7:9">
      <c r="G236" s="75"/>
      <c r="I236"/>
    </row>
    <row r="237" spans="7:9">
      <c r="G237" s="75"/>
      <c r="I237"/>
    </row>
    <row r="238" spans="7:9">
      <c r="G238" s="75"/>
      <c r="I238"/>
    </row>
    <row r="239" spans="7:9">
      <c r="G239" s="75"/>
      <c r="I239"/>
    </row>
    <row r="240" spans="7:9">
      <c r="G240" s="75"/>
      <c r="I240"/>
    </row>
    <row r="241" spans="7:9">
      <c r="G241" s="75"/>
      <c r="I241"/>
    </row>
    <row r="242" spans="7:9">
      <c r="G242" s="75"/>
      <c r="I242"/>
    </row>
    <row r="243" spans="7:9">
      <c r="G243" s="75"/>
      <c r="I243"/>
    </row>
    <row r="244" spans="7:9">
      <c r="G244" s="75"/>
      <c r="I244"/>
    </row>
    <row r="245" spans="7:9">
      <c r="G245" s="75"/>
      <c r="I245"/>
    </row>
    <row r="246" spans="7:9">
      <c r="G246" s="75"/>
    </row>
    <row r="247" spans="7:9">
      <c r="G247" s="75"/>
    </row>
    <row r="248" spans="7:9">
      <c r="G248" s="75"/>
    </row>
    <row r="249" spans="7:9">
      <c r="G249" s="75"/>
    </row>
    <row r="250" spans="7:9">
      <c r="G250" s="75"/>
    </row>
    <row r="251" spans="7:9">
      <c r="G251" s="75"/>
    </row>
    <row r="252" spans="7:9">
      <c r="G252" s="75"/>
    </row>
    <row r="253" spans="7:9">
      <c r="G253" s="75"/>
    </row>
    <row r="254" spans="7:9">
      <c r="G254" s="75"/>
    </row>
    <row r="255" spans="7:9">
      <c r="G255" s="75"/>
    </row>
    <row r="256" spans="7:9">
      <c r="G256" s="75"/>
    </row>
    <row r="257" spans="7:7">
      <c r="G257" s="75"/>
    </row>
    <row r="258" spans="7:7">
      <c r="G258" s="75"/>
    </row>
    <row r="259" spans="7:7">
      <c r="G259" s="75"/>
    </row>
    <row r="260" spans="7:7">
      <c r="G260" s="75"/>
    </row>
    <row r="261" spans="7:7">
      <c r="G261" s="75"/>
    </row>
    <row r="262" spans="7:7">
      <c r="G262" s="75"/>
    </row>
    <row r="263" spans="7:7">
      <c r="G263" s="75"/>
    </row>
    <row r="264" spans="7:7">
      <c r="G264" s="75"/>
    </row>
    <row r="265" spans="7:7">
      <c r="G265" s="75"/>
    </row>
    <row r="266" spans="7:7">
      <c r="G266" s="75"/>
    </row>
    <row r="267" spans="7:7">
      <c r="G267" s="75"/>
    </row>
    <row r="268" spans="7:7">
      <c r="G268" s="75"/>
    </row>
    <row r="269" spans="7:7">
      <c r="G269" s="75"/>
    </row>
    <row r="270" spans="7:7">
      <c r="G270" s="75"/>
    </row>
    <row r="271" spans="7:7">
      <c r="G271" s="75"/>
    </row>
    <row r="272" spans="7:7">
      <c r="G272" s="75"/>
    </row>
    <row r="273" spans="7:7">
      <c r="G273" s="75"/>
    </row>
    <row r="274" spans="7:7">
      <c r="G274" s="75"/>
    </row>
    <row r="275" spans="7:7">
      <c r="G275" s="75"/>
    </row>
    <row r="276" spans="7:7">
      <c r="G276" s="75"/>
    </row>
    <row r="277" spans="7:7">
      <c r="G277" s="75"/>
    </row>
    <row r="278" spans="7:7">
      <c r="G278" s="75"/>
    </row>
    <row r="279" spans="7:7">
      <c r="G279" s="75"/>
    </row>
    <row r="280" spans="7:7">
      <c r="G280" s="75"/>
    </row>
    <row r="281" spans="7:7">
      <c r="G281" s="75"/>
    </row>
    <row r="282" spans="7:7">
      <c r="G282" s="75"/>
    </row>
    <row r="283" spans="7:7">
      <c r="G283" s="75"/>
    </row>
    <row r="284" spans="7:7">
      <c r="G284" s="75"/>
    </row>
    <row r="285" spans="7:7">
      <c r="G285" s="75"/>
    </row>
    <row r="286" spans="7:7">
      <c r="G286" s="75"/>
    </row>
    <row r="287" spans="7:7">
      <c r="G287" s="75"/>
    </row>
    <row r="288" spans="7:7">
      <c r="G288" s="75"/>
    </row>
    <row r="289" spans="7:7">
      <c r="G289" s="75"/>
    </row>
    <row r="290" spans="7:7">
      <c r="G290" s="75"/>
    </row>
    <row r="291" spans="7:7">
      <c r="G291" s="75"/>
    </row>
    <row r="292" spans="7:7">
      <c r="G292" s="75"/>
    </row>
    <row r="293" spans="7:7">
      <c r="G293" s="75"/>
    </row>
    <row r="294" spans="7:7">
      <c r="G294" s="75"/>
    </row>
    <row r="295" spans="7:7">
      <c r="G295" s="75"/>
    </row>
    <row r="296" spans="7:7">
      <c r="G296" s="75"/>
    </row>
    <row r="297" spans="7:7">
      <c r="G297" s="75"/>
    </row>
    <row r="298" spans="7:7">
      <c r="G298" s="75"/>
    </row>
    <row r="299" spans="7:7">
      <c r="G299" s="75"/>
    </row>
    <row r="300" spans="7:7">
      <c r="G300" s="75"/>
    </row>
    <row r="301" spans="7:7">
      <c r="G301" s="75"/>
    </row>
    <row r="302" spans="7:7">
      <c r="G302" s="75"/>
    </row>
    <row r="303" spans="7:7">
      <c r="G303" s="75"/>
    </row>
    <row r="304" spans="7:7">
      <c r="G304" s="75"/>
    </row>
    <row r="305" spans="7:7">
      <c r="G305" s="75"/>
    </row>
    <row r="306" spans="7:7">
      <c r="G306" s="75"/>
    </row>
    <row r="307" spans="7:7">
      <c r="G307" s="75"/>
    </row>
    <row r="308" spans="7:7">
      <c r="G308" s="75"/>
    </row>
    <row r="309" spans="7:7">
      <c r="G309" s="75"/>
    </row>
    <row r="310" spans="7:7">
      <c r="G310" s="75"/>
    </row>
    <row r="311" spans="7:7">
      <c r="G311" s="75"/>
    </row>
    <row r="312" spans="7:7">
      <c r="G312" s="75"/>
    </row>
    <row r="313" spans="7:7">
      <c r="G313" s="75"/>
    </row>
    <row r="314" spans="7:7">
      <c r="G314" s="75"/>
    </row>
    <row r="315" spans="7:7">
      <c r="G315" s="75"/>
    </row>
    <row r="316" spans="7:7">
      <c r="G316" s="75"/>
    </row>
    <row r="317" spans="7:7">
      <c r="G317" s="75"/>
    </row>
    <row r="318" spans="7:7">
      <c r="G318" s="75"/>
    </row>
    <row r="319" spans="7:7">
      <c r="G319" s="75"/>
    </row>
    <row r="320" spans="7:7">
      <c r="G320" s="75"/>
    </row>
    <row r="321" spans="7:7">
      <c r="G321" s="75"/>
    </row>
    <row r="322" spans="7:7">
      <c r="G322" s="75"/>
    </row>
    <row r="323" spans="7:7">
      <c r="G323" s="75"/>
    </row>
    <row r="324" spans="7:7">
      <c r="G324" s="75"/>
    </row>
    <row r="325" spans="7:7">
      <c r="G325" s="75"/>
    </row>
    <row r="326" spans="7:7">
      <c r="G326" s="75"/>
    </row>
    <row r="327" spans="7:7">
      <c r="G327" s="75"/>
    </row>
    <row r="328" spans="7:7">
      <c r="G328" s="75"/>
    </row>
    <row r="329" spans="7:7">
      <c r="G329" s="75"/>
    </row>
    <row r="330" spans="7:7">
      <c r="G330" s="75"/>
    </row>
    <row r="331" spans="7:7">
      <c r="G331" s="75"/>
    </row>
    <row r="332" spans="7:7">
      <c r="G332" s="75"/>
    </row>
    <row r="333" spans="7:7">
      <c r="G333" s="75"/>
    </row>
    <row r="334" spans="7:7">
      <c r="G334" s="75"/>
    </row>
    <row r="335" spans="7:7">
      <c r="G335" s="75"/>
    </row>
    <row r="336" spans="7:7">
      <c r="G336" s="75"/>
    </row>
    <row r="337" spans="7:7">
      <c r="G337" s="75"/>
    </row>
    <row r="338" spans="7:7">
      <c r="G338" s="75"/>
    </row>
    <row r="339" spans="7:7">
      <c r="G339" s="75"/>
    </row>
    <row r="340" spans="7:7">
      <c r="G340" s="75"/>
    </row>
    <row r="341" spans="7:7">
      <c r="G341" s="75"/>
    </row>
    <row r="342" spans="7:7">
      <c r="G342" s="75"/>
    </row>
    <row r="343" spans="7:7">
      <c r="G343" s="75"/>
    </row>
    <row r="344" spans="7:7">
      <c r="G344" s="75"/>
    </row>
    <row r="345" spans="7:7">
      <c r="G345" s="75"/>
    </row>
    <row r="346" spans="7:7">
      <c r="G346" s="75"/>
    </row>
    <row r="347" spans="7:7">
      <c r="G347" s="75"/>
    </row>
    <row r="348" spans="7:7">
      <c r="G348" s="75"/>
    </row>
    <row r="349" spans="7:7">
      <c r="G349" s="75"/>
    </row>
    <row r="350" spans="7:7">
      <c r="G350" s="75"/>
    </row>
    <row r="351" spans="7:7">
      <c r="G351" s="75"/>
    </row>
    <row r="352" spans="7:7">
      <c r="G352" s="75"/>
    </row>
    <row r="353" spans="7:7">
      <c r="G353" s="75"/>
    </row>
    <row r="354" spans="7:7">
      <c r="G354" s="75"/>
    </row>
    <row r="355" spans="7:7">
      <c r="G355" s="75"/>
    </row>
    <row r="356" spans="7:7">
      <c r="G356" s="75"/>
    </row>
    <row r="357" spans="7:7">
      <c r="G357" s="75"/>
    </row>
    <row r="358" spans="7:7">
      <c r="G358" s="75"/>
    </row>
    <row r="359" spans="7:7">
      <c r="G359" s="75"/>
    </row>
    <row r="360" spans="7:7">
      <c r="G360" s="75"/>
    </row>
    <row r="361" spans="7:7">
      <c r="G361" s="75"/>
    </row>
    <row r="362" spans="7:7">
      <c r="G362" s="75"/>
    </row>
    <row r="363" spans="7:7">
      <c r="G363" s="75"/>
    </row>
    <row r="364" spans="7:7">
      <c r="G364" s="75"/>
    </row>
    <row r="365" spans="7:7">
      <c r="G365" s="75"/>
    </row>
    <row r="366" spans="7:7">
      <c r="G366" s="75"/>
    </row>
    <row r="367" spans="7:7">
      <c r="G367" s="75"/>
    </row>
    <row r="368" spans="7:7">
      <c r="G368" s="75"/>
    </row>
    <row r="369" spans="7:7">
      <c r="G369" s="75"/>
    </row>
    <row r="370" spans="7:7">
      <c r="G370" s="75"/>
    </row>
    <row r="371" spans="7:7">
      <c r="G371" s="75"/>
    </row>
    <row r="372" spans="7:7">
      <c r="G372" s="75"/>
    </row>
    <row r="373" spans="7:7">
      <c r="G373" s="75"/>
    </row>
    <row r="374" spans="7:7">
      <c r="G374" s="75"/>
    </row>
    <row r="375" spans="7:7">
      <c r="G375" s="75"/>
    </row>
    <row r="376" spans="7:7">
      <c r="G376" s="75"/>
    </row>
    <row r="377" spans="7:7">
      <c r="G377" s="75"/>
    </row>
    <row r="378" spans="7:7">
      <c r="G378" s="75"/>
    </row>
    <row r="379" spans="7:7">
      <c r="G379" s="75"/>
    </row>
    <row r="380" spans="7:7">
      <c r="G380" s="75"/>
    </row>
    <row r="381" spans="7:7">
      <c r="G381" s="75"/>
    </row>
    <row r="382" spans="7:7">
      <c r="G382" s="75"/>
    </row>
    <row r="383" spans="7:7">
      <c r="G383" s="75"/>
    </row>
    <row r="384" spans="7:7">
      <c r="G384" s="75"/>
    </row>
    <row r="385" spans="7:7">
      <c r="G385" s="75"/>
    </row>
    <row r="386" spans="7:7">
      <c r="G386" s="75"/>
    </row>
    <row r="387" spans="7:7">
      <c r="G387" s="75"/>
    </row>
    <row r="388" spans="7:7">
      <c r="G388" s="75"/>
    </row>
    <row r="389" spans="7:7">
      <c r="G389" s="75"/>
    </row>
    <row r="390" spans="7:7">
      <c r="G390" s="75"/>
    </row>
    <row r="391" spans="7:7">
      <c r="G391" s="75"/>
    </row>
    <row r="392" spans="7:7">
      <c r="G392" s="75"/>
    </row>
    <row r="393" spans="7:7">
      <c r="G393" s="75"/>
    </row>
    <row r="394" spans="7:7">
      <c r="G394" s="75"/>
    </row>
    <row r="395" spans="7:7">
      <c r="G395" s="75"/>
    </row>
    <row r="396" spans="7:7">
      <c r="G396" s="75"/>
    </row>
    <row r="397" spans="7:7">
      <c r="G397" s="75"/>
    </row>
    <row r="398" spans="7:7">
      <c r="G398" s="75"/>
    </row>
    <row r="399" spans="7:7">
      <c r="G399" s="75"/>
    </row>
    <row r="400" spans="7:7">
      <c r="G400" s="75"/>
    </row>
    <row r="401" spans="7:7">
      <c r="G401" s="75"/>
    </row>
    <row r="402" spans="7:7">
      <c r="G402" s="75"/>
    </row>
    <row r="403" spans="7:7">
      <c r="G403" s="75"/>
    </row>
    <row r="404" spans="7:7">
      <c r="G404" s="75"/>
    </row>
    <row r="405" spans="7:7">
      <c r="G405" s="75"/>
    </row>
    <row r="406" spans="7:7">
      <c r="G406" s="75"/>
    </row>
    <row r="407" spans="7:7">
      <c r="G407" s="75"/>
    </row>
    <row r="408" spans="7:7">
      <c r="G408" s="75"/>
    </row>
    <row r="409" spans="7:7">
      <c r="G409" s="75"/>
    </row>
    <row r="410" spans="7:7">
      <c r="G410" s="75"/>
    </row>
    <row r="411" spans="7:7">
      <c r="G411" s="75"/>
    </row>
    <row r="412" spans="7:7">
      <c r="G412" s="75"/>
    </row>
    <row r="413" spans="7:7">
      <c r="G413" s="75"/>
    </row>
  </sheetData>
  <mergeCells count="11">
    <mergeCell ref="C4:C5"/>
    <mergeCell ref="A3:A5"/>
    <mergeCell ref="I3:I5"/>
    <mergeCell ref="A1:I1"/>
    <mergeCell ref="A2:I2"/>
    <mergeCell ref="F4:F5"/>
    <mergeCell ref="G4:G5"/>
    <mergeCell ref="H4:H5"/>
    <mergeCell ref="F3:H3"/>
    <mergeCell ref="D3:D5"/>
    <mergeCell ref="E3:E5"/>
  </mergeCells>
  <dataValidations count="2">
    <dataValidation type="list" allowBlank="1" showInputMessage="1" showErrorMessage="1" sqref="B6" xr:uid="{00000000-0002-0000-0400-000000000000}">
      <formula1>$B$4:$B$4</formula1>
    </dataValidation>
    <dataValidation type="list" allowBlank="1" showInputMessage="1" showErrorMessage="1" sqref="B7:B98" xr:uid="{00000000-0002-0000-0400-000001000000}">
      <formula1>$B$4:$B$5</formula1>
    </dataValidation>
  </dataValidations>
  <pageMargins left="0.70866141732283505" right="0.70866141732283505" top="0.74803149606299202" bottom="0.74803149606299202" header="0.31496062992126" footer="0.31496062992126"/>
  <pageSetup paperSize="9" scale="75" fitToHeight="3" orientation="landscape" r:id="rId1"/>
  <headerFooter>
    <oddFooter>&amp;C&amp;A&amp;R&amp;P</oddFooter>
  </headerFooter>
  <ignoredErrors>
    <ignoredError sqref="H32" twoDigitTextYear="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DL125"/>
  <sheetViews>
    <sheetView zoomScaleNormal="100" workbookViewId="0">
      <pane ySplit="6" topLeftCell="A7" activePane="bottomLeft" state="frozen"/>
      <selection pane="bottomLeft" sqref="A1:I1"/>
    </sheetView>
  </sheetViews>
  <sheetFormatPr baseColWidth="10" defaultColWidth="8.83203125" defaultRowHeight="15"/>
  <cols>
    <col min="1" max="1" width="24.83203125" style="3" customWidth="1"/>
    <col min="2" max="2" width="32.1640625" style="74" customWidth="1"/>
    <col min="3" max="3" width="10.5" style="5" customWidth="1"/>
    <col min="4" max="5" width="10.5" style="61" customWidth="1"/>
    <col min="6" max="6" width="14.1640625" style="73" customWidth="1"/>
    <col min="7" max="7" width="12.6640625" style="73" customWidth="1"/>
    <col min="8" max="8" width="14.6640625" style="14" customWidth="1"/>
    <col min="9" max="9" width="18.83203125" style="32" customWidth="1"/>
    <col min="10" max="10" width="8.83203125" style="71"/>
  </cols>
  <sheetData>
    <row r="1" spans="1:10" s="1" customFormat="1" ht="30" customHeight="1">
      <c r="A1" s="265" t="s">
        <v>438</v>
      </c>
      <c r="B1" s="265"/>
      <c r="C1" s="265"/>
      <c r="D1" s="265"/>
      <c r="E1" s="265"/>
      <c r="F1" s="265"/>
      <c r="G1" s="265"/>
      <c r="H1" s="265"/>
      <c r="I1" s="270"/>
      <c r="J1" s="81"/>
    </row>
    <row r="2" spans="1:10" s="1" customFormat="1" ht="16" customHeight="1">
      <c r="A2" s="271" t="s">
        <v>668</v>
      </c>
      <c r="B2" s="271"/>
      <c r="C2" s="271"/>
      <c r="D2" s="271"/>
      <c r="E2" s="271"/>
      <c r="F2" s="271"/>
      <c r="G2" s="271"/>
      <c r="H2" s="271"/>
      <c r="I2" s="272"/>
      <c r="J2" s="81"/>
    </row>
    <row r="3" spans="1:10" ht="74" customHeight="1">
      <c r="A3" s="263" t="s">
        <v>658</v>
      </c>
      <c r="B3" s="82" t="str">
        <f>'Оценка (раздел 1)'!G3</f>
        <v>1.3 Содержится ли в составе закона о бюджете приложение (приложения) о распределении бюджетных ассигнований по разделам и подразделам классификации расходов бюджетов на 2023 год и на плановый период 2024 и 2025 годов?</v>
      </c>
      <c r="C3" s="104" t="s">
        <v>99</v>
      </c>
      <c r="D3" s="263" t="s">
        <v>154</v>
      </c>
      <c r="E3" s="263"/>
      <c r="F3" s="264" t="s">
        <v>439</v>
      </c>
      <c r="G3" s="269"/>
      <c r="H3" s="269"/>
      <c r="I3" s="263" t="s">
        <v>130</v>
      </c>
    </row>
    <row r="4" spans="1:10" ht="18" customHeight="1">
      <c r="A4" s="263"/>
      <c r="B4" s="83" t="str">
        <f>'Методика (раздел 1)'!B17</f>
        <v>Да, содержится</v>
      </c>
      <c r="C4" s="262" t="s">
        <v>89</v>
      </c>
      <c r="D4" s="263" t="s">
        <v>155</v>
      </c>
      <c r="E4" s="263" t="s">
        <v>156</v>
      </c>
      <c r="F4" s="263" t="s">
        <v>110</v>
      </c>
      <c r="G4" s="263" t="s">
        <v>113</v>
      </c>
      <c r="H4" s="263" t="s">
        <v>134</v>
      </c>
      <c r="I4" s="263"/>
    </row>
    <row r="5" spans="1:10" ht="18" customHeight="1">
      <c r="A5" s="263"/>
      <c r="B5" s="83" t="str">
        <f>'Методика (раздел 1)'!B18</f>
        <v xml:space="preserve">Нет, не содержится </v>
      </c>
      <c r="C5" s="262"/>
      <c r="D5" s="263"/>
      <c r="E5" s="263"/>
      <c r="F5" s="263"/>
      <c r="G5" s="263"/>
      <c r="H5" s="263"/>
      <c r="I5" s="263"/>
    </row>
    <row r="6" spans="1:10" ht="16" customHeight="1">
      <c r="A6" s="84" t="s">
        <v>0</v>
      </c>
      <c r="B6" s="85"/>
      <c r="C6" s="84"/>
      <c r="D6" s="42"/>
      <c r="E6" s="42"/>
      <c r="F6" s="42"/>
      <c r="G6" s="42"/>
      <c r="H6" s="86"/>
      <c r="I6" s="87"/>
    </row>
    <row r="7" spans="1:10" ht="16" customHeight="1">
      <c r="A7" s="107" t="s">
        <v>1</v>
      </c>
      <c r="B7" s="50" t="s">
        <v>92</v>
      </c>
      <c r="C7" s="88">
        <f>IF(B7="Да, содержится",2,0)</f>
        <v>2</v>
      </c>
      <c r="D7" s="140" t="s">
        <v>121</v>
      </c>
      <c r="E7" s="140" t="s">
        <v>121</v>
      </c>
      <c r="F7" s="47">
        <f>'1.2'!F7</f>
        <v>246</v>
      </c>
      <c r="G7" s="49">
        <f>'1.1'!H7</f>
        <v>44918</v>
      </c>
      <c r="H7" s="174">
        <v>10</v>
      </c>
      <c r="I7" s="50" t="s">
        <v>111</v>
      </c>
    </row>
    <row r="8" spans="1:10" ht="16" customHeight="1">
      <c r="A8" s="107" t="s">
        <v>2</v>
      </c>
      <c r="B8" s="50" t="s">
        <v>92</v>
      </c>
      <c r="C8" s="88">
        <f t="shared" ref="C8:C24" si="0">IF(B8="Да, содержится",2,0)</f>
        <v>2</v>
      </c>
      <c r="D8" s="140" t="s">
        <v>121</v>
      </c>
      <c r="E8" s="140" t="s">
        <v>121</v>
      </c>
      <c r="F8" s="47" t="str">
        <f>'1.2'!F8</f>
        <v>100-З</v>
      </c>
      <c r="G8" s="49">
        <f>'1.1'!H8</f>
        <v>44907</v>
      </c>
      <c r="H8" s="47">
        <v>5</v>
      </c>
      <c r="I8" s="50" t="s">
        <v>111</v>
      </c>
    </row>
    <row r="9" spans="1:10" ht="16" customHeight="1">
      <c r="A9" s="107" t="s">
        <v>3</v>
      </c>
      <c r="B9" s="50" t="s">
        <v>92</v>
      </c>
      <c r="C9" s="88">
        <f t="shared" si="0"/>
        <v>2</v>
      </c>
      <c r="D9" s="140" t="s">
        <v>121</v>
      </c>
      <c r="E9" s="140" t="s">
        <v>121</v>
      </c>
      <c r="F9" s="47" t="str">
        <f>'1.2'!F9</f>
        <v>129-ОЗ</v>
      </c>
      <c r="G9" s="49">
        <f>'1.1'!H9</f>
        <v>44921</v>
      </c>
      <c r="H9" s="174">
        <v>11</v>
      </c>
      <c r="I9" s="50" t="s">
        <v>111</v>
      </c>
    </row>
    <row r="10" spans="1:10" ht="16" customHeight="1">
      <c r="A10" s="107" t="s">
        <v>4</v>
      </c>
      <c r="B10" s="50" t="s">
        <v>92</v>
      </c>
      <c r="C10" s="88">
        <f t="shared" si="0"/>
        <v>2</v>
      </c>
      <c r="D10" s="140" t="s">
        <v>121</v>
      </c>
      <c r="E10" s="140" t="s">
        <v>121</v>
      </c>
      <c r="F10" s="47" t="str">
        <f>'1.2'!F10</f>
        <v>119-ОЗ</v>
      </c>
      <c r="G10" s="49">
        <f>'1.1'!H10</f>
        <v>44914</v>
      </c>
      <c r="H10" s="174">
        <v>10</v>
      </c>
      <c r="I10" s="50" t="s">
        <v>111</v>
      </c>
    </row>
    <row r="11" spans="1:10" ht="16" customHeight="1">
      <c r="A11" s="107" t="s">
        <v>5</v>
      </c>
      <c r="B11" s="50" t="s">
        <v>92</v>
      </c>
      <c r="C11" s="88">
        <f t="shared" si="0"/>
        <v>2</v>
      </c>
      <c r="D11" s="140" t="s">
        <v>121</v>
      </c>
      <c r="E11" s="140" t="s">
        <v>121</v>
      </c>
      <c r="F11" s="47" t="str">
        <f>'1.2'!F11</f>
        <v>76-ОЗ</v>
      </c>
      <c r="G11" s="49">
        <f>'1.1'!H11</f>
        <v>44914</v>
      </c>
      <c r="H11" s="174">
        <v>10</v>
      </c>
      <c r="I11" s="50" t="s">
        <v>111</v>
      </c>
    </row>
    <row r="12" spans="1:10" ht="16" customHeight="1">
      <c r="A12" s="107" t="s">
        <v>6</v>
      </c>
      <c r="B12" s="50" t="s">
        <v>92</v>
      </c>
      <c r="C12" s="88">
        <f t="shared" si="0"/>
        <v>2</v>
      </c>
      <c r="D12" s="140" t="s">
        <v>121</v>
      </c>
      <c r="E12" s="140" t="s">
        <v>121</v>
      </c>
      <c r="F12" s="47" t="str">
        <f>'1.2'!F12</f>
        <v>301-ОЗ</v>
      </c>
      <c r="G12" s="49">
        <f>'1.1'!H12</f>
        <v>44896</v>
      </c>
      <c r="H12" s="174" t="s">
        <v>253</v>
      </c>
      <c r="I12" s="50" t="s">
        <v>111</v>
      </c>
    </row>
    <row r="13" spans="1:10" ht="16" customHeight="1">
      <c r="A13" s="107" t="s">
        <v>7</v>
      </c>
      <c r="B13" s="50" t="s">
        <v>92</v>
      </c>
      <c r="C13" s="88">
        <f t="shared" si="0"/>
        <v>2</v>
      </c>
      <c r="D13" s="140" t="s">
        <v>121</v>
      </c>
      <c r="E13" s="140" t="s">
        <v>121</v>
      </c>
      <c r="F13" s="47" t="str">
        <f>'1.2'!F13</f>
        <v>297-7-ЗКО</v>
      </c>
      <c r="G13" s="49">
        <f>'1.1'!H13</f>
        <v>44914</v>
      </c>
      <c r="H13" s="174" t="s">
        <v>147</v>
      </c>
      <c r="I13" s="50" t="s">
        <v>111</v>
      </c>
    </row>
    <row r="14" spans="1:10" ht="16" customHeight="1">
      <c r="A14" s="107" t="s">
        <v>8</v>
      </c>
      <c r="B14" s="50" t="s">
        <v>92</v>
      </c>
      <c r="C14" s="88">
        <f t="shared" si="0"/>
        <v>2</v>
      </c>
      <c r="D14" s="140" t="s">
        <v>121</v>
      </c>
      <c r="E14" s="140" t="s">
        <v>121</v>
      </c>
      <c r="F14" s="47" t="str">
        <f>'1.2'!F14</f>
        <v>145-ЗКО</v>
      </c>
      <c r="G14" s="49">
        <f>'1.1'!H14</f>
        <v>44914</v>
      </c>
      <c r="H14" s="174">
        <v>6</v>
      </c>
      <c r="I14" s="50" t="s">
        <v>111</v>
      </c>
    </row>
    <row r="15" spans="1:10" ht="16" customHeight="1">
      <c r="A15" s="107" t="s">
        <v>9</v>
      </c>
      <c r="B15" s="50" t="s">
        <v>92</v>
      </c>
      <c r="C15" s="88">
        <f t="shared" si="0"/>
        <v>2</v>
      </c>
      <c r="D15" s="140" t="s">
        <v>121</v>
      </c>
      <c r="E15" s="140" t="s">
        <v>121</v>
      </c>
      <c r="F15" s="47" t="str">
        <f>'1.2'!F15</f>
        <v>243-ОЗ</v>
      </c>
      <c r="G15" s="49">
        <f>'1.1'!H15</f>
        <v>44902</v>
      </c>
      <c r="H15" s="174">
        <v>8</v>
      </c>
      <c r="I15" s="50" t="s">
        <v>111</v>
      </c>
    </row>
    <row r="16" spans="1:10" ht="16" customHeight="1">
      <c r="A16" s="107" t="s">
        <v>10</v>
      </c>
      <c r="B16" s="50" t="s">
        <v>92</v>
      </c>
      <c r="C16" s="88">
        <f t="shared" si="0"/>
        <v>2</v>
      </c>
      <c r="D16" s="140" t="s">
        <v>121</v>
      </c>
      <c r="E16" s="140" t="s">
        <v>121</v>
      </c>
      <c r="F16" s="47" t="str">
        <f>'1.2'!F16</f>
        <v>220/2022-ОЗ</v>
      </c>
      <c r="G16" s="49">
        <f>'1.1'!H16</f>
        <v>44902</v>
      </c>
      <c r="H16" s="174">
        <v>6</v>
      </c>
      <c r="I16" s="50" t="s">
        <v>111</v>
      </c>
    </row>
    <row r="17" spans="1:9" ht="16" customHeight="1">
      <c r="A17" s="107" t="s">
        <v>11</v>
      </c>
      <c r="B17" s="50" t="s">
        <v>92</v>
      </c>
      <c r="C17" s="88">
        <f t="shared" si="0"/>
        <v>2</v>
      </c>
      <c r="D17" s="140" t="s">
        <v>121</v>
      </c>
      <c r="E17" s="140" t="s">
        <v>121</v>
      </c>
      <c r="F17" s="47" t="str">
        <f>'1.2'!F17</f>
        <v>2838-ОЗ</v>
      </c>
      <c r="G17" s="49">
        <f>'1.1'!H17</f>
        <v>44897</v>
      </c>
      <c r="H17" s="47">
        <v>6</v>
      </c>
      <c r="I17" s="50" t="s">
        <v>111</v>
      </c>
    </row>
    <row r="18" spans="1:9" ht="16" customHeight="1">
      <c r="A18" s="107" t="s">
        <v>12</v>
      </c>
      <c r="B18" s="50" t="s">
        <v>92</v>
      </c>
      <c r="C18" s="88">
        <f t="shared" si="0"/>
        <v>2</v>
      </c>
      <c r="D18" s="140" t="s">
        <v>121</v>
      </c>
      <c r="E18" s="140" t="s">
        <v>121</v>
      </c>
      <c r="F18" s="47" t="str">
        <f>'1.2'!F18</f>
        <v>94-ОЗ</v>
      </c>
      <c r="G18" s="49">
        <f>'1.1'!H18</f>
        <v>44921</v>
      </c>
      <c r="H18" s="174">
        <v>6</v>
      </c>
      <c r="I18" s="50" t="s">
        <v>111</v>
      </c>
    </row>
    <row r="19" spans="1:9" ht="16" customHeight="1">
      <c r="A19" s="107" t="s">
        <v>13</v>
      </c>
      <c r="B19" s="50" t="s">
        <v>92</v>
      </c>
      <c r="C19" s="88">
        <f t="shared" si="0"/>
        <v>2</v>
      </c>
      <c r="D19" s="140" t="s">
        <v>121</v>
      </c>
      <c r="E19" s="140" t="s">
        <v>121</v>
      </c>
      <c r="F19" s="47" t="str">
        <f>'1.2'!F19</f>
        <v>159-з</v>
      </c>
      <c r="G19" s="49">
        <f>'1.1'!H19</f>
        <v>44910</v>
      </c>
      <c r="H19" s="174" t="s">
        <v>151</v>
      </c>
      <c r="I19" s="50" t="s">
        <v>111</v>
      </c>
    </row>
    <row r="20" spans="1:9" ht="16" customHeight="1">
      <c r="A20" s="107" t="s">
        <v>14</v>
      </c>
      <c r="B20" s="50" t="s">
        <v>92</v>
      </c>
      <c r="C20" s="88">
        <f t="shared" si="0"/>
        <v>2</v>
      </c>
      <c r="D20" s="140" t="s">
        <v>121</v>
      </c>
      <c r="E20" s="140" t="s">
        <v>121</v>
      </c>
      <c r="F20" s="47" t="str">
        <f>'1.2'!F20</f>
        <v>206-З</v>
      </c>
      <c r="G20" s="49">
        <f>'1.1'!H20</f>
        <v>44918</v>
      </c>
      <c r="H20" s="174">
        <v>7</v>
      </c>
      <c r="I20" s="50" t="s">
        <v>111</v>
      </c>
    </row>
    <row r="21" spans="1:9" ht="16" customHeight="1">
      <c r="A21" s="107" t="s">
        <v>15</v>
      </c>
      <c r="B21" s="50" t="s">
        <v>92</v>
      </c>
      <c r="C21" s="88">
        <f t="shared" si="0"/>
        <v>2</v>
      </c>
      <c r="D21" s="140" t="s">
        <v>121</v>
      </c>
      <c r="E21" s="140" t="s">
        <v>121</v>
      </c>
      <c r="F21" s="47" t="str">
        <f>'1.2'!F21</f>
        <v>111-ЗО</v>
      </c>
      <c r="G21" s="49">
        <f>'1.1'!H21</f>
        <v>44924</v>
      </c>
      <c r="H21" s="174">
        <v>6</v>
      </c>
      <c r="I21" s="50" t="s">
        <v>111</v>
      </c>
    </row>
    <row r="22" spans="1:9" ht="16" customHeight="1">
      <c r="A22" s="107" t="s">
        <v>16</v>
      </c>
      <c r="B22" s="50" t="s">
        <v>92</v>
      </c>
      <c r="C22" s="88">
        <f t="shared" si="0"/>
        <v>2</v>
      </c>
      <c r="D22" s="140" t="s">
        <v>121</v>
      </c>
      <c r="E22" s="140" t="s">
        <v>121</v>
      </c>
      <c r="F22" s="47" t="str">
        <f>'1.2'!F22</f>
        <v>138-ЗТО</v>
      </c>
      <c r="G22" s="49">
        <f>'1.1'!H22</f>
        <v>44916</v>
      </c>
      <c r="H22" s="174" t="s">
        <v>158</v>
      </c>
      <c r="I22" s="50" t="s">
        <v>111</v>
      </c>
    </row>
    <row r="23" spans="1:9" ht="16" customHeight="1">
      <c r="A23" s="107" t="s">
        <v>17</v>
      </c>
      <c r="B23" s="50" t="s">
        <v>101</v>
      </c>
      <c r="C23" s="88">
        <f t="shared" si="0"/>
        <v>0</v>
      </c>
      <c r="D23" s="140" t="s">
        <v>122</v>
      </c>
      <c r="E23" s="140" t="s">
        <v>122</v>
      </c>
      <c r="F23" s="47" t="str">
        <f>'1.2'!F23</f>
        <v>76-з</v>
      </c>
      <c r="G23" s="49">
        <f>'1.1'!H23</f>
        <v>44918</v>
      </c>
      <c r="H23" s="174" t="s">
        <v>122</v>
      </c>
      <c r="I23" s="50" t="s">
        <v>665</v>
      </c>
    </row>
    <row r="24" spans="1:9" ht="16" customHeight="1">
      <c r="A24" s="107" t="s">
        <v>545</v>
      </c>
      <c r="B24" s="50" t="s">
        <v>101</v>
      </c>
      <c r="C24" s="88">
        <f t="shared" si="0"/>
        <v>0</v>
      </c>
      <c r="D24" s="140" t="s">
        <v>122</v>
      </c>
      <c r="E24" s="140" t="s">
        <v>122</v>
      </c>
      <c r="F24" s="47">
        <f>'1.2'!F24</f>
        <v>30</v>
      </c>
      <c r="G24" s="49">
        <f>'1.1'!H24</f>
        <v>44867</v>
      </c>
      <c r="H24" s="174" t="s">
        <v>122</v>
      </c>
      <c r="I24" s="50" t="s">
        <v>665</v>
      </c>
    </row>
    <row r="25" spans="1:9" ht="16" customHeight="1">
      <c r="A25" s="120" t="s">
        <v>18</v>
      </c>
      <c r="B25" s="85"/>
      <c r="C25" s="43"/>
      <c r="D25" s="226"/>
      <c r="E25" s="226"/>
      <c r="F25" s="226"/>
      <c r="G25" s="44"/>
      <c r="H25" s="42"/>
      <c r="I25" s="89"/>
    </row>
    <row r="26" spans="1:9" ht="16" customHeight="1">
      <c r="A26" s="107" t="s">
        <v>19</v>
      </c>
      <c r="B26" s="50" t="s">
        <v>92</v>
      </c>
      <c r="C26" s="88">
        <f t="shared" ref="C26:C36" si="1">IF(B26="Да, содержится",2,0)</f>
        <v>2</v>
      </c>
      <c r="D26" s="140" t="s">
        <v>121</v>
      </c>
      <c r="E26" s="140" t="s">
        <v>121</v>
      </c>
      <c r="F26" s="47" t="str">
        <f>'1.2'!F26</f>
        <v>2776-ЗРК</v>
      </c>
      <c r="G26" s="49">
        <f>'1.1'!H26</f>
        <v>44916</v>
      </c>
      <c r="H26" s="174" t="s">
        <v>144</v>
      </c>
      <c r="I26" s="50" t="s">
        <v>111</v>
      </c>
    </row>
    <row r="27" spans="1:9" ht="16" customHeight="1">
      <c r="A27" s="107" t="s">
        <v>20</v>
      </c>
      <c r="B27" s="50" t="s">
        <v>101</v>
      </c>
      <c r="C27" s="88">
        <f t="shared" si="1"/>
        <v>0</v>
      </c>
      <c r="D27" s="140" t="s">
        <v>122</v>
      </c>
      <c r="E27" s="140" t="s">
        <v>122</v>
      </c>
      <c r="F27" s="47" t="str">
        <f>'1.2'!F27</f>
        <v>104-РЗ</v>
      </c>
      <c r="G27" s="49">
        <f>'1.1'!H27</f>
        <v>44900</v>
      </c>
      <c r="H27" s="174" t="s">
        <v>122</v>
      </c>
      <c r="I27" s="50" t="s">
        <v>665</v>
      </c>
    </row>
    <row r="28" spans="1:9" ht="16" customHeight="1">
      <c r="A28" s="107" t="s">
        <v>21</v>
      </c>
      <c r="B28" s="50" t="s">
        <v>92</v>
      </c>
      <c r="C28" s="88">
        <f t="shared" si="1"/>
        <v>2</v>
      </c>
      <c r="D28" s="140" t="s">
        <v>121</v>
      </c>
      <c r="E28" s="140" t="s">
        <v>121</v>
      </c>
      <c r="F28" s="47" t="str">
        <f>'1.2'!F28</f>
        <v>655-40-ОЗ</v>
      </c>
      <c r="G28" s="49">
        <f>'1.1'!H28</f>
        <v>44915</v>
      </c>
      <c r="H28" s="174">
        <v>5</v>
      </c>
      <c r="I28" s="50" t="s">
        <v>111</v>
      </c>
    </row>
    <row r="29" spans="1:9" ht="16" customHeight="1">
      <c r="A29" s="107" t="s">
        <v>22</v>
      </c>
      <c r="B29" s="50" t="s">
        <v>92</v>
      </c>
      <c r="C29" s="88">
        <f t="shared" si="1"/>
        <v>2</v>
      </c>
      <c r="D29" s="140" t="s">
        <v>121</v>
      </c>
      <c r="E29" s="140" t="s">
        <v>121</v>
      </c>
      <c r="F29" s="47" t="str">
        <f>'1.2'!F29</f>
        <v>5283-ОЗ</v>
      </c>
      <c r="G29" s="49">
        <f>'1.1'!H29</f>
        <v>44908</v>
      </c>
      <c r="H29" s="174">
        <v>7</v>
      </c>
      <c r="I29" s="50" t="s">
        <v>111</v>
      </c>
    </row>
    <row r="30" spans="1:9" ht="16" customHeight="1">
      <c r="A30" s="107" t="s">
        <v>23</v>
      </c>
      <c r="B30" s="50" t="s">
        <v>101</v>
      </c>
      <c r="C30" s="88">
        <f t="shared" si="1"/>
        <v>0</v>
      </c>
      <c r="D30" s="140" t="s">
        <v>122</v>
      </c>
      <c r="E30" s="140" t="s">
        <v>122</v>
      </c>
      <c r="F30" s="47">
        <f>'1.2'!F30</f>
        <v>167</v>
      </c>
      <c r="G30" s="49">
        <f>'1.1'!H30</f>
        <v>44917</v>
      </c>
      <c r="H30" s="140" t="s">
        <v>122</v>
      </c>
      <c r="I30" s="50" t="s">
        <v>665</v>
      </c>
    </row>
    <row r="31" spans="1:9" ht="16" customHeight="1">
      <c r="A31" s="107" t="s">
        <v>24</v>
      </c>
      <c r="B31" s="50" t="s">
        <v>92</v>
      </c>
      <c r="C31" s="88">
        <f t="shared" si="1"/>
        <v>2</v>
      </c>
      <c r="D31" s="140" t="s">
        <v>121</v>
      </c>
      <c r="E31" s="140" t="s">
        <v>121</v>
      </c>
      <c r="F31" s="47" t="str">
        <f>'1.2'!F31</f>
        <v>151-оз</v>
      </c>
      <c r="G31" s="49">
        <f>'1.1'!H31</f>
        <v>44914</v>
      </c>
      <c r="H31" s="174">
        <v>7</v>
      </c>
      <c r="I31" s="50" t="s">
        <v>111</v>
      </c>
    </row>
    <row r="32" spans="1:9" ht="16" customHeight="1">
      <c r="A32" s="107" t="s">
        <v>25</v>
      </c>
      <c r="B32" s="50" t="s">
        <v>92</v>
      </c>
      <c r="C32" s="88">
        <f t="shared" si="1"/>
        <v>2</v>
      </c>
      <c r="D32" s="140" t="s">
        <v>121</v>
      </c>
      <c r="E32" s="140" t="s">
        <v>121</v>
      </c>
      <c r="F32" s="47" t="str">
        <f>'1.2'!F32</f>
        <v>2845-01-ЗМО</v>
      </c>
      <c r="G32" s="49">
        <f>'1.1'!H32</f>
        <v>44915</v>
      </c>
      <c r="H32" s="174" t="s">
        <v>351</v>
      </c>
      <c r="I32" s="50" t="s">
        <v>111</v>
      </c>
    </row>
    <row r="33" spans="1:9" ht="16" customHeight="1">
      <c r="A33" s="107" t="s">
        <v>26</v>
      </c>
      <c r="B33" s="50" t="s">
        <v>92</v>
      </c>
      <c r="C33" s="88">
        <f t="shared" si="1"/>
        <v>2</v>
      </c>
      <c r="D33" s="140" t="s">
        <v>121</v>
      </c>
      <c r="E33" s="140" t="s">
        <v>121</v>
      </c>
      <c r="F33" s="47" t="str">
        <f>'1.2'!F33</f>
        <v>251-ОЗ</v>
      </c>
      <c r="G33" s="49">
        <f>'1.1'!H33</f>
        <v>44917</v>
      </c>
      <c r="H33" s="174">
        <v>9</v>
      </c>
      <c r="I33" s="50" t="s">
        <v>111</v>
      </c>
    </row>
    <row r="34" spans="1:9" ht="16" customHeight="1">
      <c r="A34" s="107" t="s">
        <v>27</v>
      </c>
      <c r="B34" s="50" t="s">
        <v>92</v>
      </c>
      <c r="C34" s="88">
        <f t="shared" si="1"/>
        <v>2</v>
      </c>
      <c r="D34" s="140" t="s">
        <v>121</v>
      </c>
      <c r="E34" s="140" t="s">
        <v>121</v>
      </c>
      <c r="F34" s="47" t="str">
        <f>'1.2'!F34</f>
        <v>2318-ОЗ</v>
      </c>
      <c r="G34" s="49">
        <f>'1.1'!H34</f>
        <v>44924</v>
      </c>
      <c r="H34" s="174" t="s">
        <v>153</v>
      </c>
      <c r="I34" s="50" t="s">
        <v>111</v>
      </c>
    </row>
    <row r="35" spans="1:9" ht="16" customHeight="1">
      <c r="A35" s="107" t="s">
        <v>546</v>
      </c>
      <c r="B35" s="50" t="s">
        <v>92</v>
      </c>
      <c r="C35" s="88">
        <f t="shared" si="1"/>
        <v>2</v>
      </c>
      <c r="D35" s="140" t="s">
        <v>121</v>
      </c>
      <c r="E35" s="140" t="s">
        <v>121</v>
      </c>
      <c r="F35" s="47" t="str">
        <f>'1.2'!F35</f>
        <v>666-104</v>
      </c>
      <c r="G35" s="49">
        <f>'1.1'!H35</f>
        <v>44888</v>
      </c>
      <c r="H35" s="174">
        <v>3</v>
      </c>
      <c r="I35" s="50" t="s">
        <v>111</v>
      </c>
    </row>
    <row r="36" spans="1:9" ht="16" customHeight="1">
      <c r="A36" s="107" t="s">
        <v>28</v>
      </c>
      <c r="B36" s="50" t="s">
        <v>92</v>
      </c>
      <c r="C36" s="88">
        <f t="shared" si="1"/>
        <v>2</v>
      </c>
      <c r="D36" s="140" t="s">
        <v>121</v>
      </c>
      <c r="E36" s="140" t="s">
        <v>121</v>
      </c>
      <c r="F36" s="47" t="str">
        <f>'1.2'!F36</f>
        <v>372-ОЗ</v>
      </c>
      <c r="G36" s="49">
        <f>'1.1'!H36</f>
        <v>44917</v>
      </c>
      <c r="H36" s="174">
        <v>6</v>
      </c>
      <c r="I36" s="50" t="s">
        <v>111</v>
      </c>
    </row>
    <row r="37" spans="1:9" ht="16" customHeight="1">
      <c r="A37" s="120" t="s">
        <v>29</v>
      </c>
      <c r="B37" s="85"/>
      <c r="C37" s="43"/>
      <c r="D37" s="226"/>
      <c r="E37" s="226"/>
      <c r="F37" s="226"/>
      <c r="G37" s="44"/>
      <c r="H37" s="42"/>
      <c r="I37" s="89"/>
    </row>
    <row r="38" spans="1:9" ht="16" customHeight="1">
      <c r="A38" s="107" t="s">
        <v>30</v>
      </c>
      <c r="B38" s="50" t="s">
        <v>92</v>
      </c>
      <c r="C38" s="88">
        <f t="shared" ref="C38:C45" si="2">IF(B38="Да, содержится",2,0)</f>
        <v>2</v>
      </c>
      <c r="D38" s="140" t="s">
        <v>121</v>
      </c>
      <c r="E38" s="140" t="s">
        <v>121</v>
      </c>
      <c r="F38" s="47">
        <f>'1.2'!F38</f>
        <v>140</v>
      </c>
      <c r="G38" s="49">
        <f>'1.1'!H38</f>
        <v>44907</v>
      </c>
      <c r="H38" s="174" t="s">
        <v>152</v>
      </c>
      <c r="I38" s="50" t="s">
        <v>111</v>
      </c>
    </row>
    <row r="39" spans="1:9" ht="16" customHeight="1">
      <c r="A39" s="107" t="s">
        <v>31</v>
      </c>
      <c r="B39" s="50" t="s">
        <v>92</v>
      </c>
      <c r="C39" s="88">
        <f t="shared" si="2"/>
        <v>2</v>
      </c>
      <c r="D39" s="140" t="s">
        <v>121</v>
      </c>
      <c r="E39" s="140" t="s">
        <v>121</v>
      </c>
      <c r="F39" s="47" t="str">
        <f>'1.2'!F39</f>
        <v>263-VI-З</v>
      </c>
      <c r="G39" s="49">
        <f>'1.1'!H39</f>
        <v>44910</v>
      </c>
      <c r="H39" s="174">
        <v>6</v>
      </c>
      <c r="I39" s="50" t="s">
        <v>111</v>
      </c>
    </row>
    <row r="40" spans="1:9" ht="16" customHeight="1">
      <c r="A40" s="107" t="s">
        <v>87</v>
      </c>
      <c r="B40" s="50" t="s">
        <v>92</v>
      </c>
      <c r="C40" s="88">
        <f t="shared" si="2"/>
        <v>2</v>
      </c>
      <c r="D40" s="140" t="s">
        <v>121</v>
      </c>
      <c r="E40" s="140" t="s">
        <v>121</v>
      </c>
      <c r="F40" s="47" t="str">
        <f>'1.2'!F40</f>
        <v>355-ЗРК/2022</v>
      </c>
      <c r="G40" s="49">
        <f>'1.1'!H40</f>
        <v>44910</v>
      </c>
      <c r="H40" s="174" t="s">
        <v>164</v>
      </c>
      <c r="I40" s="50" t="s">
        <v>111</v>
      </c>
    </row>
    <row r="41" spans="1:9" ht="16" customHeight="1">
      <c r="A41" s="107" t="s">
        <v>32</v>
      </c>
      <c r="B41" s="50" t="s">
        <v>92</v>
      </c>
      <c r="C41" s="88">
        <f t="shared" si="2"/>
        <v>2</v>
      </c>
      <c r="D41" s="140" t="s">
        <v>121</v>
      </c>
      <c r="E41" s="140" t="s">
        <v>121</v>
      </c>
      <c r="F41" s="47" t="str">
        <f>'1.2'!F41</f>
        <v>4825-КЗ</v>
      </c>
      <c r="G41" s="49">
        <f>'1.1'!H41</f>
        <v>44918</v>
      </c>
      <c r="H41" s="174">
        <v>6</v>
      </c>
      <c r="I41" s="50" t="s">
        <v>111</v>
      </c>
    </row>
    <row r="42" spans="1:9" ht="16" customHeight="1">
      <c r="A42" s="107" t="s">
        <v>33</v>
      </c>
      <c r="B42" s="50" t="s">
        <v>92</v>
      </c>
      <c r="C42" s="88">
        <f t="shared" si="2"/>
        <v>2</v>
      </c>
      <c r="D42" s="140" t="s">
        <v>121</v>
      </c>
      <c r="E42" s="140" t="s">
        <v>121</v>
      </c>
      <c r="F42" s="47" t="str">
        <f>'1.2'!F42</f>
        <v>93/2022-ОЗ</v>
      </c>
      <c r="G42" s="49">
        <f>'1.1'!H42</f>
        <v>44910</v>
      </c>
      <c r="H42" s="174" t="s">
        <v>152</v>
      </c>
      <c r="I42" s="50" t="s">
        <v>111</v>
      </c>
    </row>
    <row r="43" spans="1:9" ht="16" customHeight="1">
      <c r="A43" s="107" t="s">
        <v>34</v>
      </c>
      <c r="B43" s="50" t="s">
        <v>92</v>
      </c>
      <c r="C43" s="88">
        <f t="shared" si="2"/>
        <v>2</v>
      </c>
      <c r="D43" s="140" t="s">
        <v>121</v>
      </c>
      <c r="E43" s="140" t="s">
        <v>121</v>
      </c>
      <c r="F43" s="47" t="str">
        <f>'1.2'!F43</f>
        <v>122-ОД</v>
      </c>
      <c r="G43" s="49">
        <f>'1.1'!H43</f>
        <v>44900</v>
      </c>
      <c r="H43" s="174">
        <v>6</v>
      </c>
      <c r="I43" s="50" t="s">
        <v>111</v>
      </c>
    </row>
    <row r="44" spans="1:9" ht="16" customHeight="1">
      <c r="A44" s="107" t="s">
        <v>35</v>
      </c>
      <c r="B44" s="50" t="s">
        <v>92</v>
      </c>
      <c r="C44" s="88">
        <f t="shared" si="2"/>
        <v>2</v>
      </c>
      <c r="D44" s="140" t="s">
        <v>121</v>
      </c>
      <c r="E44" s="140" t="s">
        <v>121</v>
      </c>
      <c r="F44" s="47" t="str">
        <f>'1.2'!F44</f>
        <v>795-ЗС</v>
      </c>
      <c r="G44" s="49">
        <f>'1.1'!H44</f>
        <v>44911</v>
      </c>
      <c r="H44" s="174">
        <v>6</v>
      </c>
      <c r="I44" s="50" t="s">
        <v>111</v>
      </c>
    </row>
    <row r="45" spans="1:9" ht="16" customHeight="1">
      <c r="A45" s="107" t="s">
        <v>222</v>
      </c>
      <c r="B45" s="50" t="s">
        <v>92</v>
      </c>
      <c r="C45" s="88">
        <f t="shared" si="2"/>
        <v>2</v>
      </c>
      <c r="D45" s="140" t="s">
        <v>121</v>
      </c>
      <c r="E45" s="140" t="s">
        <v>121</v>
      </c>
      <c r="F45" s="47" t="str">
        <f>'1.2'!F45</f>
        <v>728-ЗС</v>
      </c>
      <c r="G45" s="49">
        <f>'1.1'!H45</f>
        <v>44915</v>
      </c>
      <c r="H45" s="174" t="s">
        <v>142</v>
      </c>
      <c r="I45" s="50" t="s">
        <v>111</v>
      </c>
    </row>
    <row r="46" spans="1:9" ht="16" customHeight="1">
      <c r="A46" s="120" t="s">
        <v>36</v>
      </c>
      <c r="B46" s="85"/>
      <c r="C46" s="43"/>
      <c r="D46" s="226"/>
      <c r="E46" s="226"/>
      <c r="F46" s="226"/>
      <c r="G46" s="44"/>
      <c r="H46" s="42"/>
      <c r="I46" s="89"/>
    </row>
    <row r="47" spans="1:9" ht="16" customHeight="1">
      <c r="A47" s="107" t="s">
        <v>37</v>
      </c>
      <c r="B47" s="50" t="s">
        <v>92</v>
      </c>
      <c r="C47" s="88">
        <f t="shared" ref="C47:C53" si="3">IF(B47="Да, содержится",2,0)</f>
        <v>2</v>
      </c>
      <c r="D47" s="140" t="s">
        <v>121</v>
      </c>
      <c r="E47" s="140" t="s">
        <v>121</v>
      </c>
      <c r="F47" s="47">
        <f>'1.2'!F47</f>
        <v>95</v>
      </c>
      <c r="G47" s="49">
        <f>'1.1'!H47</f>
        <v>44907</v>
      </c>
      <c r="H47" s="174" t="s">
        <v>151</v>
      </c>
      <c r="I47" s="50" t="s">
        <v>111</v>
      </c>
    </row>
    <row r="48" spans="1:9" ht="16" customHeight="1">
      <c r="A48" s="107" t="s">
        <v>38</v>
      </c>
      <c r="B48" s="50" t="s">
        <v>92</v>
      </c>
      <c r="C48" s="88">
        <f t="shared" si="3"/>
        <v>2</v>
      </c>
      <c r="D48" s="140" t="s">
        <v>121</v>
      </c>
      <c r="E48" s="140" t="s">
        <v>121</v>
      </c>
      <c r="F48" s="47" t="str">
        <f>'1.2'!F48</f>
        <v>71-РЗ</v>
      </c>
      <c r="G48" s="49">
        <f>'1.1'!H48</f>
        <v>44922</v>
      </c>
      <c r="H48" s="174" t="s">
        <v>157</v>
      </c>
      <c r="I48" s="50" t="s">
        <v>111</v>
      </c>
    </row>
    <row r="49" spans="1:116" ht="16" customHeight="1">
      <c r="A49" s="107" t="s">
        <v>39</v>
      </c>
      <c r="B49" s="50" t="s">
        <v>92</v>
      </c>
      <c r="C49" s="88">
        <f t="shared" si="3"/>
        <v>2</v>
      </c>
      <c r="D49" s="140" t="s">
        <v>121</v>
      </c>
      <c r="E49" s="140" t="s">
        <v>121</v>
      </c>
      <c r="F49" s="47" t="str">
        <f>'1.2'!F49</f>
        <v>63-РЗ</v>
      </c>
      <c r="G49" s="49">
        <f>'1.1'!H49</f>
        <v>44924</v>
      </c>
      <c r="H49" s="174">
        <v>10</v>
      </c>
      <c r="I49" s="50" t="s">
        <v>111</v>
      </c>
    </row>
    <row r="50" spans="1:116" ht="16" customHeight="1">
      <c r="A50" s="107" t="s">
        <v>40</v>
      </c>
      <c r="B50" s="50" t="s">
        <v>92</v>
      </c>
      <c r="C50" s="88">
        <f t="shared" si="3"/>
        <v>2</v>
      </c>
      <c r="D50" s="140" t="s">
        <v>121</v>
      </c>
      <c r="E50" s="140" t="s">
        <v>121</v>
      </c>
      <c r="F50" s="47" t="str">
        <f>'1.2'!F50</f>
        <v>98-РЗ</v>
      </c>
      <c r="G50" s="49">
        <f>'1.1'!H50</f>
        <v>44924</v>
      </c>
      <c r="H50" s="174">
        <v>7</v>
      </c>
      <c r="I50" s="50" t="s">
        <v>111</v>
      </c>
    </row>
    <row r="51" spans="1:116" ht="16" customHeight="1">
      <c r="A51" s="107" t="s">
        <v>547</v>
      </c>
      <c r="B51" s="50" t="s">
        <v>92</v>
      </c>
      <c r="C51" s="88">
        <f t="shared" si="3"/>
        <v>2</v>
      </c>
      <c r="D51" s="140" t="s">
        <v>121</v>
      </c>
      <c r="E51" s="140" t="s">
        <v>121</v>
      </c>
      <c r="F51" s="47" t="str">
        <f>'1.2'!F51</f>
        <v>88-РЗ</v>
      </c>
      <c r="G51" s="49">
        <f>'1.1'!H51</f>
        <v>44921</v>
      </c>
      <c r="H51" s="174">
        <v>7</v>
      </c>
      <c r="I51" s="50" t="s">
        <v>111</v>
      </c>
    </row>
    <row r="52" spans="1:116" ht="16" customHeight="1">
      <c r="A52" s="107" t="s">
        <v>41</v>
      </c>
      <c r="B52" s="50" t="s">
        <v>92</v>
      </c>
      <c r="C52" s="88">
        <f t="shared" si="3"/>
        <v>2</v>
      </c>
      <c r="D52" s="140" t="s">
        <v>121</v>
      </c>
      <c r="E52" s="140" t="s">
        <v>121</v>
      </c>
      <c r="F52" s="47" t="str">
        <f>'1.2'!F52</f>
        <v>75-РЗ</v>
      </c>
      <c r="G52" s="49">
        <f>'1.1'!H52</f>
        <v>44922</v>
      </c>
      <c r="H52" s="174" t="s">
        <v>158</v>
      </c>
      <c r="I52" s="50" t="s">
        <v>111</v>
      </c>
    </row>
    <row r="53" spans="1:116" ht="16" customHeight="1">
      <c r="A53" s="107" t="s">
        <v>42</v>
      </c>
      <c r="B53" s="50" t="s">
        <v>92</v>
      </c>
      <c r="C53" s="88">
        <f t="shared" si="3"/>
        <v>2</v>
      </c>
      <c r="D53" s="140" t="s">
        <v>121</v>
      </c>
      <c r="E53" s="140" t="s">
        <v>121</v>
      </c>
      <c r="F53" s="47" t="str">
        <f>'1.2'!F53</f>
        <v>110-кз</v>
      </c>
      <c r="G53" s="49">
        <f>'1.1'!H53</f>
        <v>44904</v>
      </c>
      <c r="H53" s="47">
        <v>8</v>
      </c>
      <c r="I53" s="50" t="s">
        <v>111</v>
      </c>
    </row>
    <row r="54" spans="1:116" ht="16" customHeight="1">
      <c r="A54" s="120" t="s">
        <v>43</v>
      </c>
      <c r="B54" s="85"/>
      <c r="C54" s="43"/>
      <c r="D54" s="226"/>
      <c r="E54" s="226"/>
      <c r="F54" s="226"/>
      <c r="G54" s="44"/>
      <c r="H54" s="42"/>
      <c r="I54" s="89"/>
    </row>
    <row r="55" spans="1:116" ht="16" customHeight="1">
      <c r="A55" s="107" t="s">
        <v>44</v>
      </c>
      <c r="B55" s="50" t="s">
        <v>92</v>
      </c>
      <c r="C55" s="88">
        <f t="shared" ref="C55:C61" si="4">IF(B55="Да, содержится",2,0)</f>
        <v>2</v>
      </c>
      <c r="D55" s="140" t="s">
        <v>121</v>
      </c>
      <c r="E55" s="140" t="s">
        <v>121</v>
      </c>
      <c r="F55" s="47" t="str">
        <f>'1.2'!F55</f>
        <v>651-з</v>
      </c>
      <c r="G55" s="49">
        <f>'1.1'!H55</f>
        <v>44914</v>
      </c>
      <c r="H55" s="174">
        <v>7</v>
      </c>
      <c r="I55" s="50" t="s">
        <v>111</v>
      </c>
    </row>
    <row r="56" spans="1:116" s="31" customFormat="1" ht="16" customHeight="1">
      <c r="A56" s="107" t="s">
        <v>548</v>
      </c>
      <c r="B56" s="50" t="s">
        <v>92</v>
      </c>
      <c r="C56" s="88">
        <f t="shared" si="4"/>
        <v>2</v>
      </c>
      <c r="D56" s="140" t="s">
        <v>121</v>
      </c>
      <c r="E56" s="140" t="s">
        <v>121</v>
      </c>
      <c r="F56" s="47" t="str">
        <f>'1.2'!F56</f>
        <v xml:space="preserve">46-З </v>
      </c>
      <c r="G56" s="49">
        <f>'1.1'!H56</f>
        <v>44900</v>
      </c>
      <c r="H56" s="174">
        <v>6</v>
      </c>
      <c r="I56" s="50" t="s">
        <v>111</v>
      </c>
      <c r="J56" s="71"/>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row>
    <row r="57" spans="1:116" s="31" customFormat="1" ht="16" customHeight="1">
      <c r="A57" s="107" t="s">
        <v>45</v>
      </c>
      <c r="B57" s="50" t="s">
        <v>92</v>
      </c>
      <c r="C57" s="88">
        <f t="shared" si="4"/>
        <v>2</v>
      </c>
      <c r="D57" s="140" t="s">
        <v>121</v>
      </c>
      <c r="E57" s="140" t="s">
        <v>121</v>
      </c>
      <c r="F57" s="47" t="str">
        <f>'1.2'!F57</f>
        <v>90-З</v>
      </c>
      <c r="G57" s="49">
        <f>'1.1'!H57</f>
        <v>44923</v>
      </c>
      <c r="H57" s="174">
        <v>4</v>
      </c>
      <c r="I57" s="50" t="s">
        <v>111</v>
      </c>
      <c r="J57" s="71"/>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row>
    <row r="58" spans="1:116" s="31" customFormat="1" ht="16" customHeight="1">
      <c r="A58" s="107" t="s">
        <v>46</v>
      </c>
      <c r="B58" s="50" t="s">
        <v>92</v>
      </c>
      <c r="C58" s="88">
        <f t="shared" si="4"/>
        <v>2</v>
      </c>
      <c r="D58" s="140" t="s">
        <v>121</v>
      </c>
      <c r="E58" s="140" t="s">
        <v>121</v>
      </c>
      <c r="F58" s="47" t="str">
        <f>'1.2'!F58</f>
        <v>82-ЗРТ</v>
      </c>
      <c r="G58" s="49">
        <f>'1.1'!H58</f>
        <v>44888</v>
      </c>
      <c r="H58" s="174">
        <v>7</v>
      </c>
      <c r="I58" s="50" t="s">
        <v>111</v>
      </c>
      <c r="J58" s="71"/>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row>
    <row r="59" spans="1:116" ht="16" customHeight="1">
      <c r="A59" s="107" t="s">
        <v>47</v>
      </c>
      <c r="B59" s="50" t="s">
        <v>92</v>
      </c>
      <c r="C59" s="88">
        <f t="shared" si="4"/>
        <v>2</v>
      </c>
      <c r="D59" s="140" t="s">
        <v>121</v>
      </c>
      <c r="E59" s="140" t="s">
        <v>121</v>
      </c>
      <c r="F59" s="47" t="str">
        <f>'1.2'!F59</f>
        <v>83-РЗ</v>
      </c>
      <c r="G59" s="49">
        <f>'1.1'!H59</f>
        <v>44921</v>
      </c>
      <c r="H59" s="174">
        <v>8</v>
      </c>
      <c r="I59" s="50" t="s">
        <v>111</v>
      </c>
    </row>
    <row r="60" spans="1:116" ht="16" customHeight="1">
      <c r="A60" s="107" t="s">
        <v>549</v>
      </c>
      <c r="B60" s="50" t="s">
        <v>92</v>
      </c>
      <c r="C60" s="88">
        <f t="shared" si="4"/>
        <v>2</v>
      </c>
      <c r="D60" s="140" t="s">
        <v>121</v>
      </c>
      <c r="E60" s="140" t="s">
        <v>121</v>
      </c>
      <c r="F60" s="47">
        <f>'1.2'!F60</f>
        <v>110</v>
      </c>
      <c r="G60" s="49">
        <f>'1.1'!H60</f>
        <v>44894</v>
      </c>
      <c r="H60" s="174">
        <v>5</v>
      </c>
      <c r="I60" s="50" t="s">
        <v>111</v>
      </c>
    </row>
    <row r="61" spans="1:116" s="31" customFormat="1" ht="16" customHeight="1">
      <c r="A61" s="107" t="s">
        <v>48</v>
      </c>
      <c r="B61" s="50" t="s">
        <v>101</v>
      </c>
      <c r="C61" s="88">
        <f t="shared" si="4"/>
        <v>0</v>
      </c>
      <c r="D61" s="140" t="s">
        <v>122</v>
      </c>
      <c r="E61" s="140" t="s">
        <v>122</v>
      </c>
      <c r="F61" s="47" t="str">
        <f>'1.2'!F61</f>
        <v>131-ПК</v>
      </c>
      <c r="G61" s="49">
        <f>'1.1'!H61</f>
        <v>44895</v>
      </c>
      <c r="H61" s="174" t="s">
        <v>122</v>
      </c>
      <c r="I61" s="50" t="s">
        <v>665</v>
      </c>
      <c r="J61" s="7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row>
    <row r="62" spans="1:116" s="31" customFormat="1" ht="16" customHeight="1">
      <c r="A62" s="107" t="s">
        <v>49</v>
      </c>
      <c r="B62" s="50" t="s">
        <v>92</v>
      </c>
      <c r="C62" s="88">
        <f t="shared" ref="C62:C68" si="5">IF(B62="Да, содержится",2,0)</f>
        <v>2</v>
      </c>
      <c r="D62" s="140" t="s">
        <v>121</v>
      </c>
      <c r="E62" s="140" t="s">
        <v>121</v>
      </c>
      <c r="F62" s="47" t="str">
        <f>'1.2'!F62</f>
        <v>149-ЗО</v>
      </c>
      <c r="G62" s="49">
        <f>'1.1'!H62</f>
        <v>44914</v>
      </c>
      <c r="H62" s="174" t="s">
        <v>158</v>
      </c>
      <c r="I62" s="50" t="s">
        <v>111</v>
      </c>
      <c r="J62" s="71"/>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row>
    <row r="63" spans="1:116" s="31" customFormat="1" ht="16" customHeight="1">
      <c r="A63" s="107" t="s">
        <v>550</v>
      </c>
      <c r="B63" s="50" t="s">
        <v>92</v>
      </c>
      <c r="C63" s="88">
        <f t="shared" si="5"/>
        <v>2</v>
      </c>
      <c r="D63" s="140" t="s">
        <v>121</v>
      </c>
      <c r="E63" s="140" t="s">
        <v>121</v>
      </c>
      <c r="F63" s="47" t="str">
        <f>'1.2'!F63</f>
        <v>197-З</v>
      </c>
      <c r="G63" s="49">
        <f>'1.1'!H63</f>
        <v>44915</v>
      </c>
      <c r="H63" s="174">
        <v>8</v>
      </c>
      <c r="I63" s="50" t="s">
        <v>111</v>
      </c>
      <c r="J63" s="71"/>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row>
    <row r="64" spans="1:116" s="31" customFormat="1" ht="16" customHeight="1">
      <c r="A64" s="107" t="s">
        <v>50</v>
      </c>
      <c r="B64" s="50" t="s">
        <v>92</v>
      </c>
      <c r="C64" s="88">
        <f t="shared" si="5"/>
        <v>2</v>
      </c>
      <c r="D64" s="140" t="s">
        <v>121</v>
      </c>
      <c r="E64" s="140" t="s">
        <v>121</v>
      </c>
      <c r="F64" s="47" t="str">
        <f>'1.2'!F64</f>
        <v>636/237-VII-ОЗ</v>
      </c>
      <c r="G64" s="49">
        <f>'1.1'!H64</f>
        <v>44910</v>
      </c>
      <c r="H64" s="174">
        <v>2</v>
      </c>
      <c r="I64" s="50" t="s">
        <v>111</v>
      </c>
      <c r="J64" s="71"/>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row>
    <row r="65" spans="1:116" ht="16" customHeight="1">
      <c r="A65" s="107" t="s">
        <v>51</v>
      </c>
      <c r="B65" s="50" t="s">
        <v>92</v>
      </c>
      <c r="C65" s="88">
        <f t="shared" si="5"/>
        <v>2</v>
      </c>
      <c r="D65" s="140" t="s">
        <v>121</v>
      </c>
      <c r="E65" s="140" t="s">
        <v>121</v>
      </c>
      <c r="F65" s="47" t="str">
        <f>'1.2'!F65</f>
        <v>3935-ЗПО</v>
      </c>
      <c r="G65" s="49">
        <f>'1.1'!H65</f>
        <v>44911</v>
      </c>
      <c r="H65" s="174">
        <v>6</v>
      </c>
      <c r="I65" s="50" t="s">
        <v>111</v>
      </c>
    </row>
    <row r="66" spans="1:116" s="31" customFormat="1" ht="16" customHeight="1">
      <c r="A66" s="107" t="s">
        <v>52</v>
      </c>
      <c r="B66" s="50" t="s">
        <v>101</v>
      </c>
      <c r="C66" s="88">
        <f t="shared" si="5"/>
        <v>0</v>
      </c>
      <c r="D66" s="140" t="s">
        <v>122</v>
      </c>
      <c r="E66" s="140" t="s">
        <v>122</v>
      </c>
      <c r="F66" s="47" t="str">
        <f>'1.2'!F66</f>
        <v>118-ГД</v>
      </c>
      <c r="G66" s="49">
        <f>'1.1'!H66</f>
        <v>44895</v>
      </c>
      <c r="H66" s="174" t="s">
        <v>122</v>
      </c>
      <c r="I66" s="50" t="s">
        <v>665</v>
      </c>
      <c r="J66" s="71"/>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row>
    <row r="67" spans="1:116" s="31" customFormat="1" ht="16" customHeight="1">
      <c r="A67" s="107" t="s">
        <v>53</v>
      </c>
      <c r="B67" s="50" t="s">
        <v>92</v>
      </c>
      <c r="C67" s="88">
        <f t="shared" si="5"/>
        <v>2</v>
      </c>
      <c r="D67" s="140" t="s">
        <v>121</v>
      </c>
      <c r="E67" s="140" t="s">
        <v>121</v>
      </c>
      <c r="F67" s="47" t="str">
        <f>'1.2'!F67</f>
        <v>151-ЗСО</v>
      </c>
      <c r="G67" s="49">
        <f>'1.1'!H67</f>
        <v>44895</v>
      </c>
      <c r="H67" s="174">
        <v>4</v>
      </c>
      <c r="I67" s="50" t="s">
        <v>111</v>
      </c>
      <c r="J67" s="71"/>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row>
    <row r="68" spans="1:116" ht="16" customHeight="1">
      <c r="A68" s="107" t="s">
        <v>54</v>
      </c>
      <c r="B68" s="50" t="s">
        <v>92</v>
      </c>
      <c r="C68" s="88">
        <f t="shared" si="5"/>
        <v>2</v>
      </c>
      <c r="D68" s="140" t="s">
        <v>121</v>
      </c>
      <c r="E68" s="140" t="s">
        <v>121</v>
      </c>
      <c r="F68" s="47" t="str">
        <f>'1.2'!F68</f>
        <v>119-ЗО</v>
      </c>
      <c r="G68" s="49">
        <f>'1.1'!H68</f>
        <v>44903</v>
      </c>
      <c r="H68" s="174">
        <v>5</v>
      </c>
      <c r="I68" s="50" t="s">
        <v>111</v>
      </c>
    </row>
    <row r="69" spans="1:116" ht="16" customHeight="1">
      <c r="A69" s="120" t="s">
        <v>55</v>
      </c>
      <c r="B69" s="85"/>
      <c r="C69" s="43"/>
      <c r="D69" s="226"/>
      <c r="E69" s="226"/>
      <c r="F69" s="226"/>
      <c r="G69" s="44"/>
      <c r="H69" s="42"/>
      <c r="I69" s="89"/>
    </row>
    <row r="70" spans="1:116" s="31" customFormat="1" ht="16" customHeight="1">
      <c r="A70" s="107" t="s">
        <v>56</v>
      </c>
      <c r="B70" s="50" t="s">
        <v>92</v>
      </c>
      <c r="C70" s="88">
        <f t="shared" ref="C70:C75" si="6">IF(B70="Да, содержится",2,0)</f>
        <v>2</v>
      </c>
      <c r="D70" s="140" t="s">
        <v>121</v>
      </c>
      <c r="E70" s="140" t="s">
        <v>121</v>
      </c>
      <c r="F70" s="47">
        <f>'1.2'!F70</f>
        <v>101</v>
      </c>
      <c r="G70" s="49">
        <f>'1.1'!H70</f>
        <v>44923</v>
      </c>
      <c r="H70" s="174">
        <v>6</v>
      </c>
      <c r="I70" s="50" t="s">
        <v>111</v>
      </c>
      <c r="J70" s="71"/>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row>
    <row r="71" spans="1:116" ht="16" customHeight="1">
      <c r="A71" s="107" t="s">
        <v>57</v>
      </c>
      <c r="B71" s="50" t="s">
        <v>92</v>
      </c>
      <c r="C71" s="88">
        <f t="shared" si="6"/>
        <v>2</v>
      </c>
      <c r="D71" s="140" t="s">
        <v>121</v>
      </c>
      <c r="E71" s="140" t="s">
        <v>121</v>
      </c>
      <c r="F71" s="47" t="str">
        <f>'1.2'!F71</f>
        <v>137-ОЗ</v>
      </c>
      <c r="G71" s="49">
        <f>'1.1'!H71</f>
        <v>44902</v>
      </c>
      <c r="H71" s="174">
        <v>5</v>
      </c>
      <c r="I71" s="50" t="s">
        <v>111</v>
      </c>
    </row>
    <row r="72" spans="1:116" ht="16" customHeight="1">
      <c r="A72" s="107" t="s">
        <v>58</v>
      </c>
      <c r="B72" s="50" t="s">
        <v>92</v>
      </c>
      <c r="C72" s="88">
        <f t="shared" si="6"/>
        <v>2</v>
      </c>
      <c r="D72" s="140" t="s">
        <v>121</v>
      </c>
      <c r="E72" s="140" t="s">
        <v>121</v>
      </c>
      <c r="F72" s="47">
        <f>'1.2'!F72</f>
        <v>77</v>
      </c>
      <c r="G72" s="49">
        <f>'1.1'!H72</f>
        <v>44896</v>
      </c>
      <c r="H72" s="174" t="s">
        <v>151</v>
      </c>
      <c r="I72" s="50" t="s">
        <v>111</v>
      </c>
    </row>
    <row r="73" spans="1:116" s="31" customFormat="1" ht="16" customHeight="1">
      <c r="A73" s="107" t="s">
        <v>59</v>
      </c>
      <c r="B73" s="50" t="s">
        <v>92</v>
      </c>
      <c r="C73" s="88">
        <f t="shared" si="6"/>
        <v>2</v>
      </c>
      <c r="D73" s="140" t="s">
        <v>121</v>
      </c>
      <c r="E73" s="140" t="s">
        <v>121</v>
      </c>
      <c r="F73" s="47" t="str">
        <f>'1.2'!F73</f>
        <v>727-ЗО</v>
      </c>
      <c r="G73" s="49">
        <f>'1.1'!H73</f>
        <v>44922</v>
      </c>
      <c r="H73" s="174">
        <v>7</v>
      </c>
      <c r="I73" s="50" t="s">
        <v>111</v>
      </c>
      <c r="J73" s="71"/>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row>
    <row r="74" spans="1:116" s="31" customFormat="1" ht="16" customHeight="1">
      <c r="A74" s="107" t="s">
        <v>551</v>
      </c>
      <c r="B74" s="50" t="s">
        <v>92</v>
      </c>
      <c r="C74" s="88">
        <f t="shared" si="6"/>
        <v>2</v>
      </c>
      <c r="D74" s="140" t="s">
        <v>121</v>
      </c>
      <c r="E74" s="140" t="s">
        <v>121</v>
      </c>
      <c r="F74" s="47" t="str">
        <f>'1.2'!F74</f>
        <v>132-оз</v>
      </c>
      <c r="G74" s="49">
        <f>'1.1'!H74</f>
        <v>44889</v>
      </c>
      <c r="H74" s="174" t="s">
        <v>149</v>
      </c>
      <c r="I74" s="50" t="s">
        <v>111</v>
      </c>
      <c r="J74" s="71"/>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row>
    <row r="75" spans="1:116" s="31" customFormat="1" ht="16" customHeight="1">
      <c r="A75" s="107" t="s">
        <v>60</v>
      </c>
      <c r="B75" s="50" t="s">
        <v>92</v>
      </c>
      <c r="C75" s="88">
        <f t="shared" si="6"/>
        <v>2</v>
      </c>
      <c r="D75" s="140" t="s">
        <v>121</v>
      </c>
      <c r="E75" s="140" t="s">
        <v>121</v>
      </c>
      <c r="F75" s="47" t="str">
        <f>'1.2'!F75</f>
        <v>101-ЗАО</v>
      </c>
      <c r="G75" s="49">
        <f>'1.1'!H75</f>
        <v>44889</v>
      </c>
      <c r="H75" s="174">
        <v>9</v>
      </c>
      <c r="I75" s="50" t="s">
        <v>111</v>
      </c>
      <c r="J75" s="71"/>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row>
    <row r="76" spans="1:116" ht="16" customHeight="1">
      <c r="A76" s="120" t="s">
        <v>61</v>
      </c>
      <c r="B76" s="85"/>
      <c r="C76" s="43"/>
      <c r="D76" s="226"/>
      <c r="E76" s="226"/>
      <c r="F76" s="226"/>
      <c r="G76" s="44"/>
      <c r="H76" s="42"/>
      <c r="I76" s="89"/>
    </row>
    <row r="77" spans="1:116" s="31" customFormat="1" ht="16" customHeight="1">
      <c r="A77" s="107" t="s">
        <v>62</v>
      </c>
      <c r="B77" s="50" t="s">
        <v>92</v>
      </c>
      <c r="C77" s="88">
        <f t="shared" ref="C77:C86" si="7">IF(B77="Да, содержится",2,0)</f>
        <v>2</v>
      </c>
      <c r="D77" s="140" t="s">
        <v>121</v>
      </c>
      <c r="E77" s="140" t="s">
        <v>121</v>
      </c>
      <c r="F77" s="47" t="str">
        <f>'1.2'!F77</f>
        <v>93-РЗ</v>
      </c>
      <c r="G77" s="49">
        <f>'1.1'!H77</f>
        <v>44915</v>
      </c>
      <c r="H77" s="174">
        <v>15</v>
      </c>
      <c r="I77" s="50" t="s">
        <v>111</v>
      </c>
      <c r="J77" s="71"/>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row>
    <row r="78" spans="1:116" s="31" customFormat="1" ht="16" customHeight="1">
      <c r="A78" s="107" t="s">
        <v>64</v>
      </c>
      <c r="B78" s="50" t="s">
        <v>92</v>
      </c>
      <c r="C78" s="88">
        <f t="shared" si="7"/>
        <v>2</v>
      </c>
      <c r="D78" s="140" t="s">
        <v>121</v>
      </c>
      <c r="E78" s="140" t="s">
        <v>121</v>
      </c>
      <c r="F78" s="47" t="str">
        <f>'1.2'!F78</f>
        <v>887-ЗРТ</v>
      </c>
      <c r="G78" s="49">
        <f>'1.1'!H78</f>
        <v>44910</v>
      </c>
      <c r="H78" s="174" t="s">
        <v>152</v>
      </c>
      <c r="I78" s="50" t="s">
        <v>111</v>
      </c>
      <c r="J78" s="71"/>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row>
    <row r="79" spans="1:116" s="31" customFormat="1" ht="16" customHeight="1">
      <c r="A79" s="107" t="s">
        <v>65</v>
      </c>
      <c r="B79" s="50" t="s">
        <v>92</v>
      </c>
      <c r="C79" s="88">
        <f t="shared" si="7"/>
        <v>2</v>
      </c>
      <c r="D79" s="140" t="s">
        <v>121</v>
      </c>
      <c r="E79" s="140" t="s">
        <v>121</v>
      </c>
      <c r="F79" s="47" t="str">
        <f>'1.2'!F79</f>
        <v>110-ЗРХ</v>
      </c>
      <c r="G79" s="49">
        <f>'1.1'!H79</f>
        <v>44914</v>
      </c>
      <c r="H79" s="174" t="s">
        <v>151</v>
      </c>
      <c r="I79" s="50" t="s">
        <v>111</v>
      </c>
      <c r="J79" s="71"/>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row>
    <row r="80" spans="1:116" ht="16" customHeight="1">
      <c r="A80" s="107" t="s">
        <v>66</v>
      </c>
      <c r="B80" s="50" t="s">
        <v>92</v>
      </c>
      <c r="C80" s="88">
        <f t="shared" si="7"/>
        <v>2</v>
      </c>
      <c r="D80" s="140" t="s">
        <v>121</v>
      </c>
      <c r="E80" s="140" t="s">
        <v>121</v>
      </c>
      <c r="F80" s="47" t="str">
        <f>'1.2'!F80</f>
        <v>110-ЗС</v>
      </c>
      <c r="G80" s="49">
        <f>'1.1'!H80</f>
        <v>44895</v>
      </c>
      <c r="H80" s="174" t="s">
        <v>152</v>
      </c>
      <c r="I80" s="50" t="s">
        <v>111</v>
      </c>
    </row>
    <row r="81" spans="1:116" ht="16" customHeight="1">
      <c r="A81" s="107" t="s">
        <v>68</v>
      </c>
      <c r="B81" s="50" t="s">
        <v>92</v>
      </c>
      <c r="C81" s="88">
        <f t="shared" si="7"/>
        <v>2</v>
      </c>
      <c r="D81" s="140" t="s">
        <v>121</v>
      </c>
      <c r="E81" s="140" t="s">
        <v>121</v>
      </c>
      <c r="F81" s="47" t="str">
        <f>'1.2'!F81</f>
        <v>4-1351</v>
      </c>
      <c r="G81" s="49">
        <f>'1.1'!H81</f>
        <v>44915</v>
      </c>
      <c r="H81" s="174">
        <v>3</v>
      </c>
      <c r="I81" s="50" t="s">
        <v>111</v>
      </c>
    </row>
    <row r="82" spans="1:116" s="31" customFormat="1" ht="16" customHeight="1">
      <c r="A82" s="107" t="s">
        <v>69</v>
      </c>
      <c r="B82" s="50" t="s">
        <v>92</v>
      </c>
      <c r="C82" s="88">
        <f t="shared" si="7"/>
        <v>2</v>
      </c>
      <c r="D82" s="140" t="s">
        <v>121</v>
      </c>
      <c r="E82" s="140" t="s">
        <v>121</v>
      </c>
      <c r="F82" s="47" t="str">
        <f>'1.2'!F82</f>
        <v>112-ОЗ</v>
      </c>
      <c r="G82" s="49">
        <f>'1.1'!H82</f>
        <v>44907</v>
      </c>
      <c r="H82" s="174" t="s">
        <v>151</v>
      </c>
      <c r="I82" s="50" t="s">
        <v>111</v>
      </c>
      <c r="J82" s="71"/>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row>
    <row r="83" spans="1:116" s="31" customFormat="1" ht="16" customHeight="1">
      <c r="A83" s="107" t="s">
        <v>552</v>
      </c>
      <c r="B83" s="50" t="s">
        <v>92</v>
      </c>
      <c r="C83" s="88">
        <f t="shared" si="7"/>
        <v>2</v>
      </c>
      <c r="D83" s="140" t="s">
        <v>121</v>
      </c>
      <c r="E83" s="140" t="s">
        <v>121</v>
      </c>
      <c r="F83" s="47" t="str">
        <f>'1.2'!F83</f>
        <v>145-ОЗ</v>
      </c>
      <c r="G83" s="49">
        <f>'1.1'!H83</f>
        <v>44910</v>
      </c>
      <c r="H83" s="174">
        <v>7</v>
      </c>
      <c r="I83" s="50" t="s">
        <v>111</v>
      </c>
      <c r="J83" s="71"/>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row>
    <row r="84" spans="1:116" ht="16" customHeight="1">
      <c r="A84" s="107" t="s">
        <v>70</v>
      </c>
      <c r="B84" s="50" t="s">
        <v>92</v>
      </c>
      <c r="C84" s="88">
        <f t="shared" si="7"/>
        <v>2</v>
      </c>
      <c r="D84" s="140" t="s">
        <v>121</v>
      </c>
      <c r="E84" s="140" t="s">
        <v>121</v>
      </c>
      <c r="F84" s="47" t="str">
        <f>'1.2'!F84</f>
        <v>307-ОЗ</v>
      </c>
      <c r="G84" s="49">
        <f>'1.1'!H84</f>
        <v>44918</v>
      </c>
      <c r="H84" s="174">
        <v>4</v>
      </c>
      <c r="I84" s="50" t="s">
        <v>111</v>
      </c>
    </row>
    <row r="85" spans="1:116" ht="16" customHeight="1">
      <c r="A85" s="107" t="s">
        <v>71</v>
      </c>
      <c r="B85" s="50" t="s">
        <v>92</v>
      </c>
      <c r="C85" s="88">
        <f t="shared" si="7"/>
        <v>2</v>
      </c>
      <c r="D85" s="140" t="s">
        <v>121</v>
      </c>
      <c r="E85" s="140" t="s">
        <v>121</v>
      </c>
      <c r="F85" s="47" t="str">
        <f>'1.2'!F85</f>
        <v>2537-ОЗ</v>
      </c>
      <c r="G85" s="49">
        <f>'1.1'!H85</f>
        <v>44917</v>
      </c>
      <c r="H85" s="174">
        <v>6</v>
      </c>
      <c r="I85" s="50" t="s">
        <v>111</v>
      </c>
    </row>
    <row r="86" spans="1:116" s="31" customFormat="1" ht="16" customHeight="1">
      <c r="A86" s="107" t="s">
        <v>72</v>
      </c>
      <c r="B86" s="50" t="s">
        <v>92</v>
      </c>
      <c r="C86" s="88">
        <f t="shared" si="7"/>
        <v>2</v>
      </c>
      <c r="D86" s="140" t="s">
        <v>121</v>
      </c>
      <c r="E86" s="140" t="s">
        <v>121</v>
      </c>
      <c r="F86" s="47" t="str">
        <f>'1.2'!F86</f>
        <v>141-ОЗ</v>
      </c>
      <c r="G86" s="49">
        <f>'1.1'!H86</f>
        <v>44923</v>
      </c>
      <c r="H86" s="174">
        <v>8</v>
      </c>
      <c r="I86" s="50" t="s">
        <v>111</v>
      </c>
      <c r="J86" s="71"/>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row>
    <row r="87" spans="1:116" ht="16" customHeight="1">
      <c r="A87" s="120" t="s">
        <v>73</v>
      </c>
      <c r="B87" s="85"/>
      <c r="C87" s="43"/>
      <c r="D87" s="226"/>
      <c r="E87" s="226"/>
      <c r="F87" s="226"/>
      <c r="G87" s="44"/>
      <c r="H87" s="42"/>
      <c r="I87" s="89"/>
    </row>
    <row r="88" spans="1:116" s="31" customFormat="1" ht="16" customHeight="1">
      <c r="A88" s="107" t="s">
        <v>63</v>
      </c>
      <c r="B88" s="50" t="s">
        <v>92</v>
      </c>
      <c r="C88" s="88">
        <f t="shared" ref="C88:C98" si="8">IF(B88="Да, содержится",2,0)</f>
        <v>2</v>
      </c>
      <c r="D88" s="140" t="s">
        <v>121</v>
      </c>
      <c r="E88" s="140" t="s">
        <v>121</v>
      </c>
      <c r="F88" s="47" t="str">
        <f>'1.2'!F88</f>
        <v>2487-VI</v>
      </c>
      <c r="G88" s="49">
        <f>'1.1'!H88</f>
        <v>44916</v>
      </c>
      <c r="H88" s="174" t="s">
        <v>158</v>
      </c>
      <c r="I88" s="50" t="s">
        <v>111</v>
      </c>
      <c r="J88" s="71"/>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row>
    <row r="89" spans="1:116" s="31" customFormat="1" ht="16" customHeight="1">
      <c r="A89" s="107" t="s">
        <v>74</v>
      </c>
      <c r="B89" s="50" t="s">
        <v>92</v>
      </c>
      <c r="C89" s="88">
        <f t="shared" si="8"/>
        <v>2</v>
      </c>
      <c r="D89" s="140" t="s">
        <v>121</v>
      </c>
      <c r="E89" s="140" t="s">
        <v>121</v>
      </c>
      <c r="F89" s="47" t="str">
        <f>'1.2'!F89</f>
        <v>1015-VI</v>
      </c>
      <c r="G89" s="49">
        <f>'1.1'!H89</f>
        <v>44904</v>
      </c>
      <c r="H89" s="174">
        <v>7</v>
      </c>
      <c r="I89" s="50" t="s">
        <v>111</v>
      </c>
      <c r="J89" s="71"/>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row>
    <row r="90" spans="1:116" s="31" customFormat="1" ht="16" customHeight="1">
      <c r="A90" s="107" t="s">
        <v>67</v>
      </c>
      <c r="B90" s="50" t="s">
        <v>92</v>
      </c>
      <c r="C90" s="88">
        <f t="shared" si="8"/>
        <v>2</v>
      </c>
      <c r="D90" s="140" t="s">
        <v>121</v>
      </c>
      <c r="E90" s="140" t="s">
        <v>121</v>
      </c>
      <c r="F90" s="47" t="str">
        <f>'1.2'!F90</f>
        <v>2134-ЗЗК</v>
      </c>
      <c r="G90" s="49">
        <f>'1.1'!H90</f>
        <v>44917</v>
      </c>
      <c r="H90" s="174" t="s">
        <v>149</v>
      </c>
      <c r="I90" s="50" t="s">
        <v>111</v>
      </c>
      <c r="J90" s="71"/>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row>
    <row r="91" spans="1:116" ht="16" customHeight="1">
      <c r="A91" s="107" t="s">
        <v>75</v>
      </c>
      <c r="B91" s="50" t="s">
        <v>92</v>
      </c>
      <c r="C91" s="88">
        <f t="shared" si="8"/>
        <v>2</v>
      </c>
      <c r="D91" s="140" t="s">
        <v>121</v>
      </c>
      <c r="E91" s="140" t="s">
        <v>121</v>
      </c>
      <c r="F91" s="47">
        <f>'1.2'!F91</f>
        <v>155</v>
      </c>
      <c r="G91" s="49">
        <f>'1.1'!H91</f>
        <v>44894</v>
      </c>
      <c r="H91" s="174" t="s">
        <v>400</v>
      </c>
      <c r="I91" s="50" t="s">
        <v>111</v>
      </c>
    </row>
    <row r="92" spans="1:116" ht="16" customHeight="1">
      <c r="A92" s="107" t="s">
        <v>553</v>
      </c>
      <c r="B92" s="50" t="s">
        <v>92</v>
      </c>
      <c r="C92" s="88">
        <f t="shared" si="8"/>
        <v>2</v>
      </c>
      <c r="D92" s="140" t="s">
        <v>121</v>
      </c>
      <c r="E92" s="140" t="s">
        <v>121</v>
      </c>
      <c r="F92" s="47" t="str">
        <f>'1.2'!F92</f>
        <v>253-КЗ</v>
      </c>
      <c r="G92" s="49">
        <f>'1.1'!H92</f>
        <v>44915</v>
      </c>
      <c r="H92" s="174">
        <v>5</v>
      </c>
      <c r="I92" s="50" t="s">
        <v>111</v>
      </c>
    </row>
    <row r="93" spans="1:116" ht="16" customHeight="1">
      <c r="A93" s="107" t="s">
        <v>76</v>
      </c>
      <c r="B93" s="50" t="s">
        <v>92</v>
      </c>
      <c r="C93" s="88">
        <f t="shared" si="8"/>
        <v>2</v>
      </c>
      <c r="D93" s="140" t="s">
        <v>121</v>
      </c>
      <c r="E93" s="140" t="s">
        <v>121</v>
      </c>
      <c r="F93" s="47">
        <f>'1.2'!F93</f>
        <v>334</v>
      </c>
      <c r="G93" s="49">
        <f>'1.1'!H93</f>
        <v>44886</v>
      </c>
      <c r="H93" s="174">
        <v>7</v>
      </c>
      <c r="I93" s="50" t="s">
        <v>111</v>
      </c>
    </row>
    <row r="94" spans="1:116" s="31" customFormat="1" ht="16" customHeight="1">
      <c r="A94" s="107" t="s">
        <v>77</v>
      </c>
      <c r="B94" s="50" t="s">
        <v>92</v>
      </c>
      <c r="C94" s="88">
        <f t="shared" si="8"/>
        <v>2</v>
      </c>
      <c r="D94" s="140" t="s">
        <v>121</v>
      </c>
      <c r="E94" s="140" t="s">
        <v>121</v>
      </c>
      <c r="F94" s="47" t="str">
        <f>'1.2'!F94</f>
        <v>224-ОЗ</v>
      </c>
      <c r="G94" s="49">
        <f>'1.1'!H94</f>
        <v>44908</v>
      </c>
      <c r="H94" s="174">
        <v>8</v>
      </c>
      <c r="I94" s="50" t="s">
        <v>111</v>
      </c>
      <c r="J94" s="71"/>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row>
    <row r="95" spans="1:116" s="31" customFormat="1" ht="16" customHeight="1">
      <c r="A95" s="107" t="s">
        <v>78</v>
      </c>
      <c r="B95" s="50" t="s">
        <v>92</v>
      </c>
      <c r="C95" s="88">
        <f t="shared" si="8"/>
        <v>2</v>
      </c>
      <c r="D95" s="140" t="s">
        <v>121</v>
      </c>
      <c r="E95" s="140" t="s">
        <v>121</v>
      </c>
      <c r="F95" s="47" t="str">
        <f>'1.2'!F95</f>
        <v>2767-ОЗ</v>
      </c>
      <c r="G95" s="49">
        <f>'1.1'!H95</f>
        <v>44897</v>
      </c>
      <c r="H95" s="174">
        <v>5</v>
      </c>
      <c r="I95" s="50" t="s">
        <v>111</v>
      </c>
      <c r="J95" s="71"/>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row>
    <row r="96" spans="1:116" s="31" customFormat="1" ht="16" customHeight="1">
      <c r="A96" s="107" t="s">
        <v>79</v>
      </c>
      <c r="B96" s="50" t="s">
        <v>92</v>
      </c>
      <c r="C96" s="88">
        <f t="shared" si="8"/>
        <v>2</v>
      </c>
      <c r="D96" s="140" t="s">
        <v>121</v>
      </c>
      <c r="E96" s="140" t="s">
        <v>121</v>
      </c>
      <c r="F96" s="47" t="str">
        <f>'1.2'!F96</f>
        <v>115-ЗО</v>
      </c>
      <c r="G96" s="49">
        <f>'1.1'!H96</f>
        <v>44921</v>
      </c>
      <c r="H96" s="174">
        <v>4</v>
      </c>
      <c r="I96" s="50" t="s">
        <v>111</v>
      </c>
      <c r="J96" s="71"/>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row>
    <row r="97" spans="1:116" s="31" customFormat="1" ht="16" customHeight="1">
      <c r="A97" s="107" t="s">
        <v>80</v>
      </c>
      <c r="B97" s="50" t="s">
        <v>92</v>
      </c>
      <c r="C97" s="88">
        <f t="shared" si="8"/>
        <v>2</v>
      </c>
      <c r="D97" s="140" t="s">
        <v>121</v>
      </c>
      <c r="E97" s="140" t="s">
        <v>121</v>
      </c>
      <c r="F97" s="47" t="str">
        <f>'1.2'!F97</f>
        <v>181-ОЗ</v>
      </c>
      <c r="G97" s="49">
        <f>'1.1'!H97</f>
        <v>44901</v>
      </c>
      <c r="H97" s="174" t="s">
        <v>150</v>
      </c>
      <c r="I97" s="50" t="s">
        <v>111</v>
      </c>
      <c r="J97" s="71"/>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row>
    <row r="98" spans="1:116" s="31" customFormat="1" ht="16" customHeight="1">
      <c r="A98" s="107" t="s">
        <v>81</v>
      </c>
      <c r="B98" s="50" t="s">
        <v>92</v>
      </c>
      <c r="C98" s="88">
        <f t="shared" si="8"/>
        <v>2</v>
      </c>
      <c r="D98" s="140" t="s">
        <v>121</v>
      </c>
      <c r="E98" s="140" t="s">
        <v>121</v>
      </c>
      <c r="F98" s="47" t="str">
        <f>'1.2'!F98</f>
        <v>76-ОЗ</v>
      </c>
      <c r="G98" s="49">
        <f>'1.1'!H98</f>
        <v>44531</v>
      </c>
      <c r="H98" s="174" t="s">
        <v>152</v>
      </c>
      <c r="I98" s="50" t="s">
        <v>111</v>
      </c>
      <c r="J98" s="71"/>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row>
    <row r="107" spans="1:116">
      <c r="A107" s="4"/>
      <c r="B107" s="80"/>
      <c r="C107" s="6"/>
      <c r="D107" s="64"/>
      <c r="E107" s="64"/>
      <c r="G107" s="75"/>
    </row>
    <row r="111" spans="1:116" s="2" customFormat="1">
      <c r="A111" s="4"/>
      <c r="B111" s="80"/>
      <c r="C111" s="6"/>
      <c r="D111" s="64"/>
      <c r="E111" s="64"/>
      <c r="F111" s="73"/>
      <c r="G111" s="75"/>
      <c r="H111" s="14"/>
      <c r="I111" s="32"/>
      <c r="J111" s="7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row>
    <row r="114" spans="1:116" s="2" customFormat="1">
      <c r="A114" s="4"/>
      <c r="B114" s="80"/>
      <c r="C114" s="6"/>
      <c r="D114" s="64"/>
      <c r="E114" s="64"/>
      <c r="F114" s="73"/>
      <c r="G114" s="75"/>
      <c r="H114" s="14"/>
      <c r="I114" s="32"/>
      <c r="J114" s="71"/>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row>
    <row r="118" spans="1:116" s="2" customFormat="1">
      <c r="A118" s="4"/>
      <c r="B118" s="80"/>
      <c r="C118" s="6"/>
      <c r="D118" s="64"/>
      <c r="E118" s="64"/>
      <c r="F118" s="73"/>
      <c r="G118" s="75"/>
      <c r="H118" s="14"/>
      <c r="I118" s="32"/>
      <c r="J118" s="71"/>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row>
    <row r="121" spans="1:116" s="2" customFormat="1" ht="12">
      <c r="A121" s="4"/>
      <c r="B121" s="80"/>
      <c r="C121" s="6"/>
      <c r="D121" s="64"/>
      <c r="E121" s="64"/>
      <c r="F121" s="73"/>
      <c r="G121" s="75"/>
      <c r="H121" s="14"/>
      <c r="I121" s="32"/>
      <c r="J121" s="81"/>
    </row>
    <row r="125" spans="1:116" s="2" customFormat="1" ht="12">
      <c r="A125" s="4"/>
      <c r="B125" s="80"/>
      <c r="C125" s="6"/>
      <c r="D125" s="64"/>
      <c r="E125" s="64"/>
      <c r="F125" s="73"/>
      <c r="G125" s="75"/>
      <c r="H125" s="14"/>
      <c r="I125" s="32"/>
      <c r="J125" s="81"/>
    </row>
  </sheetData>
  <mergeCells count="12">
    <mergeCell ref="A1:I1"/>
    <mergeCell ref="A2:I2"/>
    <mergeCell ref="I3:I5"/>
    <mergeCell ref="E4:E5"/>
    <mergeCell ref="F3:H3"/>
    <mergeCell ref="F4:F5"/>
    <mergeCell ref="G4:G5"/>
    <mergeCell ref="H4:H5"/>
    <mergeCell ref="A3:A5"/>
    <mergeCell ref="C4:C5"/>
    <mergeCell ref="D3:E3"/>
    <mergeCell ref="D4:D5"/>
  </mergeCells>
  <dataValidations count="1">
    <dataValidation type="list" allowBlank="1" showInputMessage="1" showErrorMessage="1" sqref="F6:G6 B6:B98" xr:uid="{00000000-0002-0000-0500-000000000000}">
      <formula1>$B$4:$B$5</formula1>
    </dataValidation>
  </dataValidations>
  <pageMargins left="0.70866141732283472" right="0.70866141732283472" top="0.74803149606299213" bottom="0.74803149606299213" header="0.31496062992125984" footer="0.31496062992125984"/>
  <pageSetup paperSize="9" scale="82" fitToHeight="0" orientation="landscape" r:id="rId1"/>
  <headerFooter>
    <oddFooter>&amp;C&amp;A&amp;R&amp;P</oddFooter>
  </headerFooter>
  <ignoredErrors>
    <ignoredError sqref="H32 H34" twoDigitTextYear="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5399"/>
  <sheetViews>
    <sheetView zoomScaleNormal="100" workbookViewId="0">
      <pane ySplit="6" topLeftCell="A7" activePane="bottomLeft" state="frozen"/>
      <selection activeCell="G1" sqref="G1"/>
      <selection pane="bottomLeft"/>
    </sheetView>
  </sheetViews>
  <sheetFormatPr baseColWidth="10" defaultColWidth="9.1640625" defaultRowHeight="15"/>
  <cols>
    <col min="1" max="1" width="24.83203125" style="3" customWidth="1"/>
    <col min="2" max="2" width="38.6640625" style="3" customWidth="1"/>
    <col min="3" max="3" width="5.5" style="3" customWidth="1"/>
    <col min="4" max="4" width="4.5" style="3" customWidth="1"/>
    <col min="5" max="5" width="5.5" style="5" customWidth="1"/>
    <col min="6" max="6" width="14.83203125" style="40" customWidth="1"/>
    <col min="7" max="7" width="11.83203125" style="40" customWidth="1"/>
    <col min="8" max="12" width="13.1640625" style="40" customWidth="1"/>
    <col min="13" max="14" width="12.33203125" style="186" customWidth="1"/>
    <col min="15" max="15" width="12.83203125" style="90" customWidth="1"/>
    <col min="16" max="19" width="11.83203125" style="40" customWidth="1"/>
    <col min="20" max="20" width="12.5" style="40" customWidth="1"/>
    <col min="21" max="21" width="11.83203125" style="40" customWidth="1"/>
    <col min="22" max="22" width="14.1640625" style="172" customWidth="1"/>
    <col min="23" max="24" width="13.83203125" style="40" customWidth="1"/>
    <col min="25" max="25" width="10.83203125" style="99" customWidth="1"/>
    <col min="26" max="27" width="9.5" style="240" customWidth="1"/>
    <col min="28" max="29" width="9.5" style="8" customWidth="1"/>
    <col min="30" max="30" width="17" customWidth="1"/>
    <col min="31" max="31" width="10.5" style="211" bestFit="1" customWidth="1"/>
    <col min="33" max="33" width="11.33203125" bestFit="1" customWidth="1"/>
    <col min="34" max="34" width="11.6640625" bestFit="1" customWidth="1"/>
    <col min="42" max="42" width="12.83203125" bestFit="1" customWidth="1"/>
  </cols>
  <sheetData>
    <row r="1" spans="1:36" s="1" customFormat="1" ht="30" customHeight="1">
      <c r="A1" s="216" t="s">
        <v>496</v>
      </c>
      <c r="B1" s="200"/>
      <c r="C1" s="200"/>
      <c r="D1" s="200"/>
      <c r="E1" s="200"/>
      <c r="F1" s="200"/>
      <c r="G1" s="200"/>
      <c r="H1" s="200"/>
      <c r="I1" s="200"/>
      <c r="J1" s="200"/>
      <c r="K1" s="200"/>
      <c r="L1" s="200"/>
      <c r="M1" s="201"/>
      <c r="N1" s="201"/>
      <c r="O1" s="200"/>
      <c r="P1" s="200"/>
      <c r="Q1" s="200"/>
      <c r="R1" s="200"/>
      <c r="S1" s="200"/>
      <c r="T1" s="200"/>
      <c r="U1" s="200"/>
      <c r="V1" s="200"/>
      <c r="W1" s="200"/>
      <c r="X1" s="200"/>
      <c r="Y1" s="201"/>
      <c r="Z1" s="200"/>
      <c r="AA1" s="200"/>
      <c r="AB1" s="231"/>
      <c r="AC1" s="231"/>
      <c r="AD1" s="202"/>
      <c r="AE1" s="211"/>
    </row>
    <row r="2" spans="1:36" s="1" customFormat="1" ht="16" customHeight="1">
      <c r="A2" s="203" t="s">
        <v>669</v>
      </c>
      <c r="B2" s="203"/>
      <c r="C2" s="203"/>
      <c r="D2" s="203"/>
      <c r="E2" s="203"/>
      <c r="F2" s="203"/>
      <c r="G2" s="203"/>
      <c r="H2" s="203"/>
      <c r="I2" s="203"/>
      <c r="J2" s="203"/>
      <c r="K2" s="203"/>
      <c r="L2" s="203"/>
      <c r="M2" s="204"/>
      <c r="N2" s="204"/>
      <c r="O2" s="203"/>
      <c r="P2" s="203"/>
      <c r="Q2" s="203"/>
      <c r="R2" s="203"/>
      <c r="S2" s="203"/>
      <c r="T2" s="203"/>
      <c r="U2" s="203"/>
      <c r="V2" s="203"/>
      <c r="W2" s="203"/>
      <c r="X2" s="203"/>
      <c r="Y2" s="204"/>
      <c r="Z2" s="203"/>
      <c r="AA2" s="203"/>
      <c r="AB2" s="232"/>
      <c r="AC2" s="232"/>
      <c r="AD2" s="205"/>
      <c r="AE2" s="211"/>
    </row>
    <row r="3" spans="1:36" ht="88" customHeight="1">
      <c r="A3" s="264" t="s">
        <v>556</v>
      </c>
      <c r="B3" s="96" t="str">
        <f>'Оценка (раздел 1)'!H3</f>
        <v>1.4 Содержатся ли в составе закона о бюджете сведения об общем объеме межбюджетных трансфертов, предоставляемых другим бюджетам бюджетной системы Российской Федерации в 2023 году и плановом периоде 2024 и 2025 годов, с детализацией по соответствующим бюджетам и формам межбюджетных трансфертов?</v>
      </c>
      <c r="C3" s="275" t="s">
        <v>100</v>
      </c>
      <c r="D3" s="275"/>
      <c r="E3" s="275"/>
      <c r="F3" s="273" t="s">
        <v>223</v>
      </c>
      <c r="G3" s="273" t="s">
        <v>250</v>
      </c>
      <c r="H3" s="277" t="s">
        <v>653</v>
      </c>
      <c r="I3" s="274"/>
      <c r="J3" s="274"/>
      <c r="K3" s="274"/>
      <c r="L3" s="274"/>
      <c r="M3" s="274"/>
      <c r="N3" s="274"/>
      <c r="O3" s="279" t="s">
        <v>558</v>
      </c>
      <c r="P3" s="260" t="s">
        <v>559</v>
      </c>
      <c r="Q3" s="274"/>
      <c r="R3" s="274"/>
      <c r="S3" s="274"/>
      <c r="T3" s="274"/>
      <c r="U3" s="274"/>
      <c r="V3" s="274"/>
      <c r="W3" s="273" t="s">
        <v>238</v>
      </c>
      <c r="X3" s="274"/>
      <c r="Y3" s="274"/>
      <c r="Z3" s="263" t="s">
        <v>497</v>
      </c>
      <c r="AA3" s="274"/>
      <c r="AB3" s="274"/>
      <c r="AC3" s="274"/>
      <c r="AD3" s="263" t="s">
        <v>130</v>
      </c>
    </row>
    <row r="4" spans="1:36" ht="48" customHeight="1">
      <c r="A4" s="264"/>
      <c r="B4" s="41" t="str">
        <f>'Методика (раздел 1)'!B25</f>
        <v>Да, содержатся для всех бюджетов бюджетной системы Российской Федерации, которым законом о бюджете предусмотрены межбюджетные трансферты</v>
      </c>
      <c r="C4" s="264" t="s">
        <v>89</v>
      </c>
      <c r="D4" s="263" t="s">
        <v>180</v>
      </c>
      <c r="E4" s="275" t="s">
        <v>88</v>
      </c>
      <c r="F4" s="274"/>
      <c r="G4" s="274"/>
      <c r="H4" s="260" t="s">
        <v>599</v>
      </c>
      <c r="I4" s="260" t="s">
        <v>229</v>
      </c>
      <c r="J4" s="260"/>
      <c r="K4" s="260"/>
      <c r="L4" s="260"/>
      <c r="M4" s="260" t="s">
        <v>575</v>
      </c>
      <c r="N4" s="260" t="s">
        <v>560</v>
      </c>
      <c r="O4" s="274"/>
      <c r="P4" s="260" t="s">
        <v>228</v>
      </c>
      <c r="Q4" s="260" t="s">
        <v>654</v>
      </c>
      <c r="R4" s="260" t="s">
        <v>555</v>
      </c>
      <c r="S4" s="274"/>
      <c r="T4" s="260" t="s">
        <v>231</v>
      </c>
      <c r="U4" s="260" t="s">
        <v>247</v>
      </c>
      <c r="V4" s="260" t="s">
        <v>576</v>
      </c>
      <c r="W4" s="273" t="s">
        <v>561</v>
      </c>
      <c r="X4" s="279" t="s">
        <v>562</v>
      </c>
      <c r="Y4" s="280" t="s">
        <v>230</v>
      </c>
      <c r="Z4" s="278" t="s">
        <v>110</v>
      </c>
      <c r="AA4" s="276" t="s">
        <v>182</v>
      </c>
      <c r="AB4" s="276" t="s">
        <v>136</v>
      </c>
      <c r="AC4" s="276" t="s">
        <v>134</v>
      </c>
      <c r="AD4" s="263"/>
    </row>
    <row r="5" spans="1:36" ht="55" customHeight="1">
      <c r="A5" s="264"/>
      <c r="B5" s="41" t="str">
        <f>'Методика (раздел 1)'!B26</f>
        <v>Да, содержатся в части местных бюджетов, при этом законом о бюджете предусмотрены также межбюджетные трансферты другим бюджетам бюджетной системы Российской Федерации</v>
      </c>
      <c r="C5" s="264"/>
      <c r="D5" s="263"/>
      <c r="E5" s="275"/>
      <c r="F5" s="274"/>
      <c r="G5" s="274"/>
      <c r="H5" s="274"/>
      <c r="I5" s="260" t="s">
        <v>224</v>
      </c>
      <c r="J5" s="260" t="s">
        <v>225</v>
      </c>
      <c r="K5" s="260" t="s">
        <v>226</v>
      </c>
      <c r="L5" s="260" t="s">
        <v>227</v>
      </c>
      <c r="M5" s="274"/>
      <c r="N5" s="274"/>
      <c r="O5" s="274"/>
      <c r="P5" s="274"/>
      <c r="Q5" s="274"/>
      <c r="R5" s="260" t="s">
        <v>563</v>
      </c>
      <c r="S5" s="260" t="s">
        <v>557</v>
      </c>
      <c r="T5" s="274"/>
      <c r="U5" s="274"/>
      <c r="V5" s="274"/>
      <c r="W5" s="274"/>
      <c r="X5" s="274"/>
      <c r="Y5" s="281"/>
      <c r="Z5" s="278"/>
      <c r="AA5" s="276"/>
      <c r="AB5" s="276"/>
      <c r="AC5" s="276"/>
      <c r="AD5" s="263"/>
    </row>
    <row r="6" spans="1:36" ht="29" customHeight="1">
      <c r="A6" s="264"/>
      <c r="B6" s="41" t="str">
        <f>'Методика (раздел 1)'!B27</f>
        <v>Нет, не содержатся или не отвечают требованиям</v>
      </c>
      <c r="C6" s="264"/>
      <c r="D6" s="263"/>
      <c r="E6" s="275"/>
      <c r="F6" s="274"/>
      <c r="G6" s="274"/>
      <c r="H6" s="274"/>
      <c r="I6" s="274"/>
      <c r="J6" s="274"/>
      <c r="K6" s="274"/>
      <c r="L6" s="274"/>
      <c r="M6" s="274"/>
      <c r="N6" s="274"/>
      <c r="O6" s="274"/>
      <c r="P6" s="274"/>
      <c r="Q6" s="274"/>
      <c r="R6" s="274"/>
      <c r="S6" s="274"/>
      <c r="T6" s="274"/>
      <c r="U6" s="274"/>
      <c r="V6" s="274"/>
      <c r="W6" s="274"/>
      <c r="X6" s="274"/>
      <c r="Y6" s="281"/>
      <c r="Z6" s="278"/>
      <c r="AA6" s="276"/>
      <c r="AB6" s="276"/>
      <c r="AC6" s="276"/>
      <c r="AD6" s="263"/>
    </row>
    <row r="7" spans="1:36" ht="15" customHeight="1">
      <c r="A7" s="84" t="s">
        <v>0</v>
      </c>
      <c r="B7" s="42"/>
      <c r="C7" s="42"/>
      <c r="D7" s="42"/>
      <c r="E7" s="43"/>
      <c r="F7" s="44"/>
      <c r="G7" s="44"/>
      <c r="H7" s="44"/>
      <c r="I7" s="44"/>
      <c r="J7" s="44"/>
      <c r="K7" s="44"/>
      <c r="L7" s="44"/>
      <c r="M7" s="98"/>
      <c r="N7" s="98"/>
      <c r="O7" s="59"/>
      <c r="P7" s="44"/>
      <c r="Q7" s="44"/>
      <c r="R7" s="44"/>
      <c r="S7" s="44"/>
      <c r="T7" s="44"/>
      <c r="U7" s="44"/>
      <c r="V7" s="44"/>
      <c r="W7" s="44"/>
      <c r="X7" s="44"/>
      <c r="Y7" s="98"/>
      <c r="Z7" s="85"/>
      <c r="AA7" s="239"/>
      <c r="AB7" s="84"/>
      <c r="AC7" s="45"/>
      <c r="AD7" s="42"/>
      <c r="AE7" s="198"/>
      <c r="AF7" s="175"/>
      <c r="AG7" s="175"/>
      <c r="AH7" s="175"/>
      <c r="AI7" s="175"/>
      <c r="AJ7" s="175"/>
    </row>
    <row r="8" spans="1:36" ht="15" customHeight="1">
      <c r="A8" s="107" t="s">
        <v>1</v>
      </c>
      <c r="B8" s="46" t="s">
        <v>419</v>
      </c>
      <c r="C8" s="47">
        <f>IF(B8=$B$4,2,IF(B8=$B$5,1,0))</f>
        <v>1</v>
      </c>
      <c r="D8" s="47"/>
      <c r="E8" s="48">
        <f t="shared" ref="E8:E19" si="0">C8*(1-D8)</f>
        <v>1</v>
      </c>
      <c r="F8" s="58" t="s">
        <v>232</v>
      </c>
      <c r="G8" s="58" t="s">
        <v>121</v>
      </c>
      <c r="H8" s="51">
        <v>53817757.799999997</v>
      </c>
      <c r="I8" s="51">
        <f>5331017+1147652.8+6000</f>
        <v>6484669.7999999998</v>
      </c>
      <c r="J8" s="51">
        <v>8889709.8000000007</v>
      </c>
      <c r="K8" s="51">
        <v>36889640.799999997</v>
      </c>
      <c r="L8" s="51">
        <v>1553737.4</v>
      </c>
      <c r="M8" s="51">
        <f>SUM(I8:L8)</f>
        <v>53817757.799999997</v>
      </c>
      <c r="N8" s="51">
        <f t="shared" ref="N8:N71" si="1">H8-M8</f>
        <v>0</v>
      </c>
      <c r="O8" s="53" t="s">
        <v>249</v>
      </c>
      <c r="P8" s="51">
        <v>1969.8</v>
      </c>
      <c r="Q8" s="51" t="s">
        <v>111</v>
      </c>
      <c r="R8" s="189">
        <v>7192707.7000000002</v>
      </c>
      <c r="S8" s="51">
        <f>784816.4+622415.7+15000</f>
        <v>1422232.1</v>
      </c>
      <c r="T8" s="51" t="s">
        <v>111</v>
      </c>
      <c r="U8" s="51" t="s">
        <v>111</v>
      </c>
      <c r="V8" s="51">
        <f t="shared" ref="V8:V25" si="2">SUM(P8:U8)</f>
        <v>8616909.5999999996</v>
      </c>
      <c r="W8" s="51">
        <f>M8+V8</f>
        <v>62434667.399999999</v>
      </c>
      <c r="X8" s="51">
        <v>55241959.699999981</v>
      </c>
      <c r="Y8" s="51">
        <f>X8-W8</f>
        <v>-7192707.7000000179</v>
      </c>
      <c r="Z8" s="50">
        <f>'1.2'!F7</f>
        <v>246</v>
      </c>
      <c r="AA8" s="58">
        <f>'1.1'!H7</f>
        <v>44918</v>
      </c>
      <c r="AB8" s="233" t="s">
        <v>442</v>
      </c>
      <c r="AC8" s="233" t="s">
        <v>111</v>
      </c>
      <c r="AD8" s="107" t="s">
        <v>565</v>
      </c>
      <c r="AE8" s="212" t="s">
        <v>111</v>
      </c>
      <c r="AF8" s="175"/>
      <c r="AG8" s="175"/>
      <c r="AH8" s="175"/>
      <c r="AI8" s="175"/>
      <c r="AJ8" s="175"/>
    </row>
    <row r="9" spans="1:36" ht="15" customHeight="1">
      <c r="A9" s="107" t="s">
        <v>2</v>
      </c>
      <c r="B9" s="46" t="s">
        <v>418</v>
      </c>
      <c r="C9" s="47">
        <f t="shared" ref="C9:C72" si="3">IF(B9=$B$4,2,IF(B9=$B$5,1,0))</f>
        <v>2</v>
      </c>
      <c r="D9" s="47"/>
      <c r="E9" s="48">
        <f t="shared" si="0"/>
        <v>2</v>
      </c>
      <c r="F9" s="58" t="s">
        <v>239</v>
      </c>
      <c r="G9" s="58" t="s">
        <v>121</v>
      </c>
      <c r="H9" s="51">
        <f>28528630.65988</f>
        <v>28528630.659880001</v>
      </c>
      <c r="I9" s="51">
        <f>3680418</f>
        <v>3680418</v>
      </c>
      <c r="J9" s="51">
        <f>10828067.59914</f>
        <v>10828067.59914</v>
      </c>
      <c r="K9" s="51">
        <f>13294927.41361</f>
        <v>13294927.41361</v>
      </c>
      <c r="L9" s="51">
        <f>725217.64713</f>
        <v>725217.64713000006</v>
      </c>
      <c r="M9" s="51">
        <f t="shared" ref="M9:M17" si="4">SUM(I9:L9)</f>
        <v>28528630.659880001</v>
      </c>
      <c r="N9" s="51">
        <f t="shared" si="1"/>
        <v>0</v>
      </c>
      <c r="O9" s="53" t="s">
        <v>121</v>
      </c>
      <c r="P9" s="51">
        <f>3231.7</f>
        <v>3231.7</v>
      </c>
      <c r="Q9" s="51" t="s">
        <v>111</v>
      </c>
      <c r="R9" s="51" t="s">
        <v>111</v>
      </c>
      <c r="S9" s="51">
        <f>548721900/1000</f>
        <v>548721.9</v>
      </c>
      <c r="T9" s="51" t="s">
        <v>111</v>
      </c>
      <c r="U9" s="51" t="s">
        <v>111</v>
      </c>
      <c r="V9" s="51">
        <f t="shared" si="2"/>
        <v>551953.6</v>
      </c>
      <c r="W9" s="51">
        <f>M9+V9</f>
        <v>29080584.259880003</v>
      </c>
      <c r="X9" s="51">
        <v>29080584.259880006</v>
      </c>
      <c r="Y9" s="51">
        <f>X9-W9</f>
        <v>0</v>
      </c>
      <c r="Z9" s="50" t="str">
        <f>'1.2'!F8</f>
        <v>100-З</v>
      </c>
      <c r="AA9" s="58">
        <f>'1.1'!H8</f>
        <v>44907</v>
      </c>
      <c r="AB9" s="233">
        <v>5</v>
      </c>
      <c r="AC9" s="233" t="s">
        <v>443</v>
      </c>
      <c r="AD9" s="107" t="s">
        <v>111</v>
      </c>
      <c r="AE9" s="213"/>
      <c r="AF9" s="175"/>
      <c r="AG9" s="175"/>
      <c r="AH9" s="175"/>
      <c r="AI9" s="175"/>
      <c r="AJ9" s="175"/>
    </row>
    <row r="10" spans="1:36" ht="15" customHeight="1">
      <c r="A10" s="107" t="s">
        <v>3</v>
      </c>
      <c r="B10" s="46" t="s">
        <v>418</v>
      </c>
      <c r="C10" s="47">
        <f t="shared" si="3"/>
        <v>2</v>
      </c>
      <c r="D10" s="47"/>
      <c r="E10" s="48">
        <f t="shared" si="0"/>
        <v>2</v>
      </c>
      <c r="F10" s="58" t="s">
        <v>239</v>
      </c>
      <c r="G10" s="58" t="s">
        <v>121</v>
      </c>
      <c r="H10" s="51">
        <v>34806356.5</v>
      </c>
      <c r="I10" s="51">
        <v>4318923</v>
      </c>
      <c r="J10" s="51">
        <v>14552112.199999999</v>
      </c>
      <c r="K10" s="51">
        <v>14286065.5</v>
      </c>
      <c r="L10" s="51">
        <v>1649255.8</v>
      </c>
      <c r="M10" s="51">
        <f t="shared" si="4"/>
        <v>34806356.5</v>
      </c>
      <c r="N10" s="51">
        <f t="shared" si="1"/>
        <v>0</v>
      </c>
      <c r="O10" s="53" t="s">
        <v>121</v>
      </c>
      <c r="P10" s="51">
        <v>11995.3</v>
      </c>
      <c r="Q10" s="51" t="s">
        <v>111</v>
      </c>
      <c r="R10" s="51" t="s">
        <v>111</v>
      </c>
      <c r="S10" s="51">
        <v>996847.6</v>
      </c>
      <c r="T10" s="51" t="s">
        <v>111</v>
      </c>
      <c r="U10" s="51" t="s">
        <v>111</v>
      </c>
      <c r="V10" s="51">
        <f t="shared" si="2"/>
        <v>1008842.9</v>
      </c>
      <c r="W10" s="51">
        <f>M10+V10</f>
        <v>35815199.399999999</v>
      </c>
      <c r="X10" s="51">
        <v>35815199.399999991</v>
      </c>
      <c r="Y10" s="51">
        <f>X10-W10</f>
        <v>0</v>
      </c>
      <c r="Z10" s="50" t="str">
        <f>'1.2'!F9</f>
        <v>129-ОЗ</v>
      </c>
      <c r="AA10" s="58">
        <f>'1.1'!H9</f>
        <v>44921</v>
      </c>
      <c r="AB10" s="233">
        <v>8</v>
      </c>
      <c r="AC10" s="233" t="s">
        <v>441</v>
      </c>
      <c r="AD10" s="107" t="s">
        <v>111</v>
      </c>
      <c r="AE10" s="198"/>
      <c r="AF10" s="175"/>
      <c r="AG10" s="175"/>
      <c r="AH10" s="175"/>
      <c r="AI10" s="175"/>
      <c r="AJ10" s="175"/>
    </row>
    <row r="11" spans="1:36" s="7" customFormat="1" ht="15" customHeight="1">
      <c r="A11" s="107" t="s">
        <v>4</v>
      </c>
      <c r="B11" s="46" t="s">
        <v>418</v>
      </c>
      <c r="C11" s="47">
        <f t="shared" si="3"/>
        <v>2</v>
      </c>
      <c r="D11" s="47"/>
      <c r="E11" s="48">
        <f t="shared" si="0"/>
        <v>2</v>
      </c>
      <c r="F11" s="58" t="s">
        <v>239</v>
      </c>
      <c r="G11" s="58" t="s">
        <v>121</v>
      </c>
      <c r="H11" s="51">
        <v>59553964.5</v>
      </c>
      <c r="I11" s="51">
        <v>2865581</v>
      </c>
      <c r="J11" s="51">
        <v>31254727</v>
      </c>
      <c r="K11" s="51">
        <v>23235910.199999999</v>
      </c>
      <c r="L11" s="51">
        <v>2197746.2999999998</v>
      </c>
      <c r="M11" s="51">
        <f t="shared" si="4"/>
        <v>59553964.5</v>
      </c>
      <c r="N11" s="51">
        <f t="shared" si="1"/>
        <v>0</v>
      </c>
      <c r="O11" s="53" t="s">
        <v>121</v>
      </c>
      <c r="P11" s="51" t="s">
        <v>111</v>
      </c>
      <c r="Q11" s="51" t="s">
        <v>111</v>
      </c>
      <c r="R11" s="51" t="s">
        <v>111</v>
      </c>
      <c r="S11" s="51">
        <v>994565</v>
      </c>
      <c r="T11" s="51" t="s">
        <v>111</v>
      </c>
      <c r="U11" s="51" t="s">
        <v>111</v>
      </c>
      <c r="V11" s="51">
        <f t="shared" si="2"/>
        <v>994565</v>
      </c>
      <c r="W11" s="51">
        <f>M11+V11</f>
        <v>60548529.5</v>
      </c>
      <c r="X11" s="51">
        <v>60548529.5</v>
      </c>
      <c r="Y11" s="51">
        <f t="shared" ref="Y11:Y37" si="5">X11-W11</f>
        <v>0</v>
      </c>
      <c r="Z11" s="50" t="str">
        <f>'1.2'!F10</f>
        <v>119-ОЗ</v>
      </c>
      <c r="AA11" s="58">
        <f>'1.1'!H10</f>
        <v>44914</v>
      </c>
      <c r="AB11" s="233" t="s">
        <v>217</v>
      </c>
      <c r="AC11" s="233" t="s">
        <v>221</v>
      </c>
      <c r="AD11" s="107" t="s">
        <v>111</v>
      </c>
      <c r="AE11" s="198"/>
      <c r="AF11" s="176"/>
      <c r="AG11" s="176"/>
      <c r="AH11" s="176"/>
      <c r="AI11" s="176"/>
      <c r="AJ11" s="176"/>
    </row>
    <row r="12" spans="1:36" s="30" customFormat="1" ht="15" customHeight="1">
      <c r="A12" s="107" t="s">
        <v>5</v>
      </c>
      <c r="B12" s="46" t="s">
        <v>418</v>
      </c>
      <c r="C12" s="47">
        <f t="shared" si="3"/>
        <v>2</v>
      </c>
      <c r="D12" s="47"/>
      <c r="E12" s="48">
        <f t="shared" si="0"/>
        <v>2</v>
      </c>
      <c r="F12" s="58" t="s">
        <v>239</v>
      </c>
      <c r="G12" s="58" t="s">
        <v>121</v>
      </c>
      <c r="H12" s="51">
        <f>22638788374.27/1000</f>
        <v>22638788.37427</v>
      </c>
      <c r="I12" s="51">
        <f>5715933535.31/1000</f>
        <v>5715933.5353100002</v>
      </c>
      <c r="J12" s="51">
        <f>7671473448.04/1000</f>
        <v>7671473.4480400002</v>
      </c>
      <c r="K12" s="51">
        <f>7837389181.82/1000</f>
        <v>7837389.1818199996</v>
      </c>
      <c r="L12" s="51">
        <f>1413992209.1/1000</f>
        <v>1413992.2090999999</v>
      </c>
      <c r="M12" s="51">
        <f t="shared" si="4"/>
        <v>22638788.37427</v>
      </c>
      <c r="N12" s="51">
        <f t="shared" si="1"/>
        <v>0</v>
      </c>
      <c r="O12" s="53" t="s">
        <v>121</v>
      </c>
      <c r="P12" s="51" t="s">
        <v>111</v>
      </c>
      <c r="Q12" s="51" t="s">
        <v>111</v>
      </c>
      <c r="R12" s="282">
        <f>689757936/1000</f>
        <v>689757.93599999999</v>
      </c>
      <c r="S12" s="284"/>
      <c r="T12" s="51" t="s">
        <v>111</v>
      </c>
      <c r="U12" s="51" t="s">
        <v>111</v>
      </c>
      <c r="V12" s="51">
        <f t="shared" si="2"/>
        <v>689757.93599999999</v>
      </c>
      <c r="W12" s="51">
        <f>M12+V12</f>
        <v>23328546.31027</v>
      </c>
      <c r="X12" s="51">
        <v>23328546.310269993</v>
      </c>
      <c r="Y12" s="51">
        <f t="shared" si="5"/>
        <v>0</v>
      </c>
      <c r="Z12" s="50" t="str">
        <f>'1.2'!F11</f>
        <v>76-ОЗ</v>
      </c>
      <c r="AA12" s="58">
        <f>'1.1'!H11</f>
        <v>44914</v>
      </c>
      <c r="AB12" s="233">
        <v>7</v>
      </c>
      <c r="AC12" s="233" t="s">
        <v>111</v>
      </c>
      <c r="AD12" s="107" t="s">
        <v>567</v>
      </c>
      <c r="AE12" s="198" t="s">
        <v>111</v>
      </c>
      <c r="AF12" s="177"/>
      <c r="AG12" s="177"/>
      <c r="AH12" s="177"/>
      <c r="AI12" s="177"/>
      <c r="AJ12" s="177"/>
    </row>
    <row r="13" spans="1:36" ht="15" customHeight="1">
      <c r="A13" s="107" t="s">
        <v>6</v>
      </c>
      <c r="B13" s="46" t="s">
        <v>418</v>
      </c>
      <c r="C13" s="47">
        <f t="shared" si="3"/>
        <v>2</v>
      </c>
      <c r="D13" s="47"/>
      <c r="E13" s="48">
        <f t="shared" si="0"/>
        <v>2</v>
      </c>
      <c r="F13" s="58" t="s">
        <v>239</v>
      </c>
      <c r="G13" s="58" t="s">
        <v>121</v>
      </c>
      <c r="H13" s="51">
        <v>31784356</v>
      </c>
      <c r="I13" s="51">
        <v>992048</v>
      </c>
      <c r="J13" s="51">
        <v>9547219.8000000007</v>
      </c>
      <c r="K13" s="51">
        <v>19946845.300000001</v>
      </c>
      <c r="L13" s="51">
        <v>1298242.8999999999</v>
      </c>
      <c r="M13" s="51">
        <f t="shared" si="4"/>
        <v>31784356</v>
      </c>
      <c r="N13" s="51">
        <f t="shared" si="1"/>
        <v>0</v>
      </c>
      <c r="O13" s="53" t="s">
        <v>121</v>
      </c>
      <c r="P13" s="51">
        <v>1713</v>
      </c>
      <c r="Q13" s="51" t="s">
        <v>111</v>
      </c>
      <c r="R13" s="51" t="s">
        <v>111</v>
      </c>
      <c r="S13" s="51">
        <f>2122374.7+17280.3</f>
        <v>2139655</v>
      </c>
      <c r="T13" s="51" t="s">
        <v>111</v>
      </c>
      <c r="U13" s="51" t="s">
        <v>111</v>
      </c>
      <c r="V13" s="51">
        <f t="shared" si="2"/>
        <v>2141368</v>
      </c>
      <c r="W13" s="51">
        <f t="shared" ref="W13:W75" si="6">M13+V13</f>
        <v>33925724</v>
      </c>
      <c r="X13" s="51">
        <v>33925723.999860004</v>
      </c>
      <c r="Y13" s="51">
        <f t="shared" si="5"/>
        <v>-1.3999640941619873E-4</v>
      </c>
      <c r="Z13" s="50" t="str">
        <f>'1.2'!F12</f>
        <v>301-ОЗ</v>
      </c>
      <c r="AA13" s="58">
        <f>'1.1'!H12</f>
        <v>44896</v>
      </c>
      <c r="AB13" s="233">
        <v>14</v>
      </c>
      <c r="AC13" s="233" t="s">
        <v>111</v>
      </c>
      <c r="AD13" s="107" t="s">
        <v>111</v>
      </c>
      <c r="AE13" s="213"/>
      <c r="AF13" s="175"/>
      <c r="AG13" s="175"/>
      <c r="AH13" s="175"/>
      <c r="AI13" s="175"/>
      <c r="AJ13" s="175"/>
    </row>
    <row r="14" spans="1:36" s="7" customFormat="1" ht="15" customHeight="1">
      <c r="A14" s="107" t="s">
        <v>7</v>
      </c>
      <c r="B14" s="46" t="s">
        <v>419</v>
      </c>
      <c r="C14" s="47">
        <f t="shared" si="3"/>
        <v>1</v>
      </c>
      <c r="D14" s="47">
        <v>0.5</v>
      </c>
      <c r="E14" s="48">
        <f t="shared" si="0"/>
        <v>0.5</v>
      </c>
      <c r="F14" s="58" t="s">
        <v>232</v>
      </c>
      <c r="G14" s="58" t="s">
        <v>121</v>
      </c>
      <c r="H14" s="51">
        <v>15351994.300000001</v>
      </c>
      <c r="I14" s="51">
        <f>134644+2928337+510000+90158</f>
        <v>3663139</v>
      </c>
      <c r="J14" s="51">
        <v>4435957.0999999996</v>
      </c>
      <c r="K14" s="51">
        <v>5815182.7999999998</v>
      </c>
      <c r="L14" s="51">
        <v>1437715.4</v>
      </c>
      <c r="M14" s="51">
        <f t="shared" si="4"/>
        <v>15351994.299999999</v>
      </c>
      <c r="N14" s="51">
        <f t="shared" si="1"/>
        <v>0</v>
      </c>
      <c r="O14" s="53" t="s">
        <v>122</v>
      </c>
      <c r="P14" s="51">
        <v>2315.1</v>
      </c>
      <c r="Q14" s="51" t="s">
        <v>111</v>
      </c>
      <c r="R14" s="51" t="s">
        <v>111</v>
      </c>
      <c r="S14" s="51" t="s">
        <v>111</v>
      </c>
      <c r="T14" s="51" t="s">
        <v>111</v>
      </c>
      <c r="U14" s="51" t="s">
        <v>111</v>
      </c>
      <c r="V14" s="51">
        <f t="shared" si="2"/>
        <v>2315.1</v>
      </c>
      <c r="W14" s="51">
        <f t="shared" si="6"/>
        <v>15354309.399999999</v>
      </c>
      <c r="X14" s="51">
        <v>15897808.800000006</v>
      </c>
      <c r="Y14" s="51">
        <f t="shared" si="5"/>
        <v>543499.40000000782</v>
      </c>
      <c r="Z14" s="50" t="str">
        <f>'1.2'!F13</f>
        <v>297-7-ЗКО</v>
      </c>
      <c r="AA14" s="58">
        <f>'1.1'!H13</f>
        <v>44914</v>
      </c>
      <c r="AB14" s="233" t="s">
        <v>444</v>
      </c>
      <c r="AC14" s="233" t="s">
        <v>441</v>
      </c>
      <c r="AD14" s="107" t="s">
        <v>569</v>
      </c>
      <c r="AE14" s="198" t="s">
        <v>111</v>
      </c>
      <c r="AF14" s="176"/>
      <c r="AG14" s="176"/>
      <c r="AH14" s="176"/>
      <c r="AI14" s="176"/>
      <c r="AJ14" s="176"/>
    </row>
    <row r="15" spans="1:36" s="30" customFormat="1" ht="15" customHeight="1">
      <c r="A15" s="107" t="s">
        <v>8</v>
      </c>
      <c r="B15" s="46" t="s">
        <v>418</v>
      </c>
      <c r="C15" s="47">
        <f t="shared" si="3"/>
        <v>2</v>
      </c>
      <c r="D15" s="47"/>
      <c r="E15" s="48">
        <f t="shared" si="0"/>
        <v>2</v>
      </c>
      <c r="F15" s="58" t="s">
        <v>239</v>
      </c>
      <c r="G15" s="58" t="s">
        <v>121</v>
      </c>
      <c r="H15" s="51">
        <f>30411033476/1000</f>
        <v>30411033.476</v>
      </c>
      <c r="I15" s="51">
        <f xml:space="preserve"> 645666333/1000</f>
        <v>645666.33299999998</v>
      </c>
      <c r="J15" s="51">
        <f>9038902065/1000</f>
        <v>9038902.0649999995</v>
      </c>
      <c r="K15" s="51">
        <f>20460599757/1000</f>
        <v>20460599.756999999</v>
      </c>
      <c r="L15" s="51">
        <f>265865321/1000</f>
        <v>265865.321</v>
      </c>
      <c r="M15" s="51">
        <f t="shared" si="4"/>
        <v>30411033.476</v>
      </c>
      <c r="N15" s="51">
        <f t="shared" si="1"/>
        <v>0</v>
      </c>
      <c r="O15" s="53" t="s">
        <v>121</v>
      </c>
      <c r="P15" s="51">
        <f>1113.5</f>
        <v>1113.5</v>
      </c>
      <c r="Q15" s="51" t="s">
        <v>111</v>
      </c>
      <c r="R15" s="51" t="s">
        <v>111</v>
      </c>
      <c r="S15" s="51">
        <f>819064.8+8000</f>
        <v>827064.8</v>
      </c>
      <c r="T15" s="51" t="s">
        <v>111</v>
      </c>
      <c r="U15" s="51" t="s">
        <v>111</v>
      </c>
      <c r="V15" s="51">
        <f t="shared" si="2"/>
        <v>828178.3</v>
      </c>
      <c r="W15" s="51">
        <f t="shared" si="6"/>
        <v>31239211.776000001</v>
      </c>
      <c r="X15" s="51">
        <f>31239211776/1000</f>
        <v>31239211.776000001</v>
      </c>
      <c r="Y15" s="51">
        <f t="shared" si="5"/>
        <v>0</v>
      </c>
      <c r="Z15" s="50" t="str">
        <f>'1.2'!F14</f>
        <v>145-ЗКО</v>
      </c>
      <c r="AA15" s="58">
        <f>'1.1'!H14</f>
        <v>44914</v>
      </c>
      <c r="AB15" s="233">
        <v>9</v>
      </c>
      <c r="AC15" s="233" t="s">
        <v>217</v>
      </c>
      <c r="AD15" s="107" t="s">
        <v>111</v>
      </c>
      <c r="AE15" s="198"/>
      <c r="AF15" s="177"/>
      <c r="AG15" s="177"/>
      <c r="AH15" s="177"/>
      <c r="AI15" s="177"/>
      <c r="AJ15" s="177"/>
    </row>
    <row r="16" spans="1:36" ht="15" customHeight="1">
      <c r="A16" s="107" t="s">
        <v>9</v>
      </c>
      <c r="B16" s="46" t="s">
        <v>419</v>
      </c>
      <c r="C16" s="47">
        <f t="shared" si="3"/>
        <v>1</v>
      </c>
      <c r="D16" s="47"/>
      <c r="E16" s="48">
        <f t="shared" si="0"/>
        <v>1</v>
      </c>
      <c r="F16" s="58" t="s">
        <v>232</v>
      </c>
      <c r="G16" s="58" t="s">
        <v>121</v>
      </c>
      <c r="H16" s="51">
        <f>28394478.01056</f>
        <v>28394478.010559998</v>
      </c>
      <c r="I16" s="51">
        <f>3036891.4</f>
        <v>3036891.4</v>
      </c>
      <c r="J16" s="51">
        <f>8008405.05086</f>
        <v>8008405.0508599998</v>
      </c>
      <c r="K16" s="51">
        <f>14670180.24716</f>
        <v>14670180.247160001</v>
      </c>
      <c r="L16" s="51">
        <f>2679001.31254</f>
        <v>2679001.3125399998</v>
      </c>
      <c r="M16" s="51">
        <f t="shared" si="4"/>
        <v>28394478.010559998</v>
      </c>
      <c r="N16" s="51">
        <f t="shared" si="1"/>
        <v>0</v>
      </c>
      <c r="O16" s="53" t="s">
        <v>122</v>
      </c>
      <c r="P16" s="51" t="s">
        <v>111</v>
      </c>
      <c r="Q16" s="51" t="s">
        <v>111</v>
      </c>
      <c r="R16" s="51" t="s">
        <v>111</v>
      </c>
      <c r="S16" s="51" t="s">
        <v>111</v>
      </c>
      <c r="T16" s="51" t="s">
        <v>111</v>
      </c>
      <c r="U16" s="51" t="s">
        <v>111</v>
      </c>
      <c r="V16" s="51">
        <f t="shared" si="2"/>
        <v>0</v>
      </c>
      <c r="W16" s="51">
        <f t="shared" si="6"/>
        <v>28394478.010559998</v>
      </c>
      <c r="X16" s="51">
        <v>30137629.710560001</v>
      </c>
      <c r="Y16" s="51">
        <f>X16-W16</f>
        <v>1743151.700000003</v>
      </c>
      <c r="Z16" s="50" t="str">
        <f>'1.2'!F15</f>
        <v>243-ОЗ</v>
      </c>
      <c r="AA16" s="58">
        <f>'1.1'!H15</f>
        <v>44902</v>
      </c>
      <c r="AB16" s="233">
        <v>11</v>
      </c>
      <c r="AC16" s="233" t="s">
        <v>111</v>
      </c>
      <c r="AD16" s="107" t="s">
        <v>607</v>
      </c>
      <c r="AE16" s="198" t="s">
        <v>111</v>
      </c>
      <c r="AF16" s="175"/>
      <c r="AG16" s="175"/>
      <c r="AH16" s="175"/>
      <c r="AI16" s="175"/>
      <c r="AJ16" s="175"/>
    </row>
    <row r="17" spans="1:43" ht="15" customHeight="1">
      <c r="A17" s="107" t="s">
        <v>10</v>
      </c>
      <c r="B17" s="46" t="s">
        <v>418</v>
      </c>
      <c r="C17" s="47">
        <f t="shared" si="3"/>
        <v>2</v>
      </c>
      <c r="D17" s="47"/>
      <c r="E17" s="48">
        <f t="shared" si="0"/>
        <v>2</v>
      </c>
      <c r="F17" s="58" t="s">
        <v>239</v>
      </c>
      <c r="G17" s="58" t="s">
        <v>121</v>
      </c>
      <c r="H17" s="51">
        <v>292553701</v>
      </c>
      <c r="I17" s="51">
        <v>5113611</v>
      </c>
      <c r="J17" s="51">
        <v>144889045</v>
      </c>
      <c r="K17" s="51">
        <v>138792674</v>
      </c>
      <c r="L17" s="51">
        <v>3758371</v>
      </c>
      <c r="M17" s="51">
        <f t="shared" si="4"/>
        <v>292553701</v>
      </c>
      <c r="N17" s="51">
        <f t="shared" si="1"/>
        <v>0</v>
      </c>
      <c r="O17" s="53" t="s">
        <v>121</v>
      </c>
      <c r="P17" s="51">
        <v>11623</v>
      </c>
      <c r="Q17" s="51">
        <f>3727695</f>
        <v>3727695</v>
      </c>
      <c r="R17" s="51" t="s">
        <v>111</v>
      </c>
      <c r="S17" s="51">
        <v>13076476</v>
      </c>
      <c r="T17" s="51">
        <v>1953065</v>
      </c>
      <c r="U17" s="51" t="s">
        <v>111</v>
      </c>
      <c r="V17" s="51">
        <f t="shared" si="2"/>
        <v>18768859</v>
      </c>
      <c r="W17" s="51">
        <f t="shared" si="6"/>
        <v>311322560</v>
      </c>
      <c r="X17" s="51">
        <v>311322560</v>
      </c>
      <c r="Y17" s="51">
        <f t="shared" si="5"/>
        <v>0</v>
      </c>
      <c r="Z17" s="50" t="str">
        <f>'1.2'!F16</f>
        <v>220/2022-ОЗ</v>
      </c>
      <c r="AA17" s="58">
        <f>'1.1'!H16</f>
        <v>44902</v>
      </c>
      <c r="AB17" s="233" t="s">
        <v>590</v>
      </c>
      <c r="AC17" s="233" t="s">
        <v>111</v>
      </c>
      <c r="AD17" s="107" t="s">
        <v>111</v>
      </c>
      <c r="AE17" s="213"/>
      <c r="AF17" s="175"/>
      <c r="AG17" s="175"/>
      <c r="AH17" s="175"/>
      <c r="AI17" s="175"/>
      <c r="AJ17" s="175"/>
    </row>
    <row r="18" spans="1:43" s="7" customFormat="1" ht="15" customHeight="1">
      <c r="A18" s="107" t="s">
        <v>11</v>
      </c>
      <c r="B18" s="46" t="s">
        <v>212</v>
      </c>
      <c r="C18" s="47">
        <f t="shared" si="3"/>
        <v>0</v>
      </c>
      <c r="D18" s="47"/>
      <c r="E18" s="48">
        <f t="shared" si="0"/>
        <v>0</v>
      </c>
      <c r="F18" s="58" t="s">
        <v>122</v>
      </c>
      <c r="G18" s="52" t="s">
        <v>122</v>
      </c>
      <c r="H18" s="51">
        <v>16711294.699999999</v>
      </c>
      <c r="I18" s="51" t="s">
        <v>111</v>
      </c>
      <c r="J18" s="51" t="s">
        <v>111</v>
      </c>
      <c r="K18" s="51" t="s">
        <v>111</v>
      </c>
      <c r="L18" s="51" t="s">
        <v>111</v>
      </c>
      <c r="M18" s="51">
        <f t="shared" ref="M18:M75" si="7">SUM(I18:L18)</f>
        <v>0</v>
      </c>
      <c r="N18" s="51">
        <f>H18-M18</f>
        <v>16711294.699999999</v>
      </c>
      <c r="O18" s="53" t="s">
        <v>122</v>
      </c>
      <c r="P18" s="51" t="s">
        <v>111</v>
      </c>
      <c r="Q18" s="51" t="s">
        <v>111</v>
      </c>
      <c r="R18" s="51" t="s">
        <v>111</v>
      </c>
      <c r="S18" s="51" t="s">
        <v>111</v>
      </c>
      <c r="T18" s="51" t="s">
        <v>111</v>
      </c>
      <c r="U18" s="51" t="s">
        <v>111</v>
      </c>
      <c r="V18" s="51">
        <v>0</v>
      </c>
      <c r="W18" s="51">
        <f t="shared" si="6"/>
        <v>0</v>
      </c>
      <c r="X18" s="51">
        <v>17094821.099999998</v>
      </c>
      <c r="Y18" s="51">
        <f>X18-W18</f>
        <v>17094821.099999998</v>
      </c>
      <c r="Z18" s="50" t="str">
        <f>'1.2'!F17</f>
        <v>2838-ОЗ</v>
      </c>
      <c r="AA18" s="58">
        <f>'1.1'!H17</f>
        <v>44897</v>
      </c>
      <c r="AB18" s="233">
        <v>8</v>
      </c>
      <c r="AC18" s="233" t="s">
        <v>111</v>
      </c>
      <c r="AD18" s="107" t="s">
        <v>597</v>
      </c>
      <c r="AE18" s="198" t="s">
        <v>111</v>
      </c>
      <c r="AF18" s="175"/>
      <c r="AG18" s="175"/>
      <c r="AH18" s="175"/>
      <c r="AI18" s="175"/>
      <c r="AJ18" s="175"/>
      <c r="AK18"/>
      <c r="AL18"/>
      <c r="AM18"/>
      <c r="AN18"/>
      <c r="AO18"/>
      <c r="AP18"/>
      <c r="AQ18"/>
    </row>
    <row r="19" spans="1:43" s="7" customFormat="1" ht="15" customHeight="1">
      <c r="A19" s="107" t="s">
        <v>12</v>
      </c>
      <c r="B19" s="46" t="s">
        <v>212</v>
      </c>
      <c r="C19" s="47">
        <f t="shared" si="3"/>
        <v>0</v>
      </c>
      <c r="D19" s="47"/>
      <c r="E19" s="48">
        <f t="shared" si="0"/>
        <v>0</v>
      </c>
      <c r="F19" s="58" t="s">
        <v>249</v>
      </c>
      <c r="G19" s="52" t="s">
        <v>249</v>
      </c>
      <c r="H19" s="189">
        <f>30606514408.59/1000</f>
        <v>30606514.40859</v>
      </c>
      <c r="I19" s="51">
        <f>(1506398824.23+ 671832082.2+4000000+5000000+5000000+5000000)/1000</f>
        <v>2197230.9064300004</v>
      </c>
      <c r="J19" s="189">
        <f>12732663144.59/1000</f>
        <v>12732663.14459</v>
      </c>
      <c r="K19" s="51">
        <f>14917937233.92/1000</f>
        <v>14917937.23392</v>
      </c>
      <c r="L19" s="51">
        <f>(10591363.65+260620000+442471760+45000000)/1000</f>
        <v>758683.12364999996</v>
      </c>
      <c r="M19" s="51">
        <f t="shared" si="7"/>
        <v>30606514.40859</v>
      </c>
      <c r="N19" s="51">
        <f t="shared" si="1"/>
        <v>0</v>
      </c>
      <c r="O19" s="53" t="s">
        <v>121</v>
      </c>
      <c r="P19" s="51" t="s">
        <v>111</v>
      </c>
      <c r="Q19" s="51" t="s">
        <v>111</v>
      </c>
      <c r="R19" s="282">
        <f>740200700/1000</f>
        <v>740200.7</v>
      </c>
      <c r="S19" s="284"/>
      <c r="T19" s="51"/>
      <c r="U19" s="51" t="s">
        <v>111</v>
      </c>
      <c r="V19" s="51">
        <f t="shared" si="2"/>
        <v>740200.7</v>
      </c>
      <c r="W19" s="51">
        <f t="shared" si="6"/>
        <v>31346715.108589999</v>
      </c>
      <c r="X19" s="51">
        <v>31341394.99495</v>
      </c>
      <c r="Y19" s="51">
        <f t="shared" si="5"/>
        <v>-5320.113639999181</v>
      </c>
      <c r="Z19" s="50" t="str">
        <f>'1.2'!F18</f>
        <v>94-ОЗ</v>
      </c>
      <c r="AA19" s="58">
        <f>'1.1'!H18</f>
        <v>44921</v>
      </c>
      <c r="AB19" s="233">
        <v>6</v>
      </c>
      <c r="AC19" s="233" t="s">
        <v>111</v>
      </c>
      <c r="AD19" s="107" t="s">
        <v>626</v>
      </c>
      <c r="AE19" s="198" t="s">
        <v>111</v>
      </c>
      <c r="AF19" s="176"/>
      <c r="AG19" s="176"/>
      <c r="AH19" s="176"/>
      <c r="AI19" s="176"/>
      <c r="AJ19" s="176"/>
    </row>
    <row r="20" spans="1:43" s="7" customFormat="1" ht="15" customHeight="1">
      <c r="A20" s="107" t="s">
        <v>13</v>
      </c>
      <c r="B20" s="46" t="s">
        <v>418</v>
      </c>
      <c r="C20" s="47">
        <f t="shared" si="3"/>
        <v>2</v>
      </c>
      <c r="D20" s="47"/>
      <c r="E20" s="48">
        <f t="shared" ref="E20:E25" si="8">C20*(1-D20)</f>
        <v>2</v>
      </c>
      <c r="F20" s="52" t="s">
        <v>239</v>
      </c>
      <c r="G20" s="58" t="s">
        <v>121</v>
      </c>
      <c r="H20" s="51">
        <v>19177172.600000001</v>
      </c>
      <c r="I20" s="51">
        <f>3092000+1139186</f>
        <v>4231186</v>
      </c>
      <c r="J20" s="51">
        <v>5266734.9000000004</v>
      </c>
      <c r="K20" s="51">
        <v>9454251.6999999993</v>
      </c>
      <c r="L20" s="51">
        <v>225000</v>
      </c>
      <c r="M20" s="51">
        <f t="shared" si="7"/>
        <v>19177172.600000001</v>
      </c>
      <c r="N20" s="51">
        <f t="shared" si="1"/>
        <v>0</v>
      </c>
      <c r="O20" s="53" t="s">
        <v>121</v>
      </c>
      <c r="P20" s="51">
        <v>1204.2</v>
      </c>
      <c r="Q20" s="51" t="s">
        <v>111</v>
      </c>
      <c r="R20" s="51" t="s">
        <v>111</v>
      </c>
      <c r="S20" s="51">
        <v>1029110</v>
      </c>
      <c r="T20" s="51" t="s">
        <v>111</v>
      </c>
      <c r="U20" s="51" t="s">
        <v>111</v>
      </c>
      <c r="V20" s="51">
        <f t="shared" si="2"/>
        <v>1030314.2</v>
      </c>
      <c r="W20" s="51">
        <f t="shared" si="6"/>
        <v>20207486.800000001</v>
      </c>
      <c r="X20" s="51">
        <v>20207486.811300002</v>
      </c>
      <c r="Y20" s="51">
        <f t="shared" si="5"/>
        <v>1.1300001293420792E-2</v>
      </c>
      <c r="Z20" s="50" t="str">
        <f>'1.2'!F19</f>
        <v>159-з</v>
      </c>
      <c r="AA20" s="58">
        <f>'1.1'!H19</f>
        <v>44910</v>
      </c>
      <c r="AB20" s="233" t="s">
        <v>589</v>
      </c>
      <c r="AC20" s="233" t="s">
        <v>111</v>
      </c>
      <c r="AD20" s="107" t="s">
        <v>111</v>
      </c>
      <c r="AE20" s="213"/>
      <c r="AF20" s="175"/>
      <c r="AG20" s="175"/>
      <c r="AH20" s="175"/>
      <c r="AI20" s="175"/>
      <c r="AJ20" s="175"/>
      <c r="AK20"/>
      <c r="AL20"/>
      <c r="AM20"/>
      <c r="AN20"/>
      <c r="AO20"/>
      <c r="AP20"/>
      <c r="AQ20"/>
    </row>
    <row r="21" spans="1:43" s="30" customFormat="1" ht="15" customHeight="1">
      <c r="A21" s="107" t="s">
        <v>14</v>
      </c>
      <c r="B21" s="46" t="s">
        <v>419</v>
      </c>
      <c r="C21" s="47">
        <f t="shared" si="3"/>
        <v>1</v>
      </c>
      <c r="D21" s="47"/>
      <c r="E21" s="48">
        <f t="shared" si="8"/>
        <v>1</v>
      </c>
      <c r="F21" s="58" t="s">
        <v>232</v>
      </c>
      <c r="G21" s="58" t="s">
        <v>121</v>
      </c>
      <c r="H21" s="51">
        <v>19611934.699999999</v>
      </c>
      <c r="I21" s="51">
        <v>3534741.6</v>
      </c>
      <c r="J21" s="51">
        <v>7074526.0999999996</v>
      </c>
      <c r="K21" s="51">
        <v>8309169.4000000004</v>
      </c>
      <c r="L21" s="51">
        <v>693497.6</v>
      </c>
      <c r="M21" s="51">
        <f t="shared" si="7"/>
        <v>19611934.700000003</v>
      </c>
      <c r="N21" s="51">
        <f t="shared" si="1"/>
        <v>0</v>
      </c>
      <c r="O21" s="53" t="s">
        <v>249</v>
      </c>
      <c r="P21" s="51">
        <v>1257.4000000000001</v>
      </c>
      <c r="Q21" s="51" t="s">
        <v>111</v>
      </c>
      <c r="R21" s="51" t="s">
        <v>111</v>
      </c>
      <c r="S21" s="189">
        <f>244092+327926.7+7140</f>
        <v>579158.69999999995</v>
      </c>
      <c r="T21" s="51" t="s">
        <v>111</v>
      </c>
      <c r="U21" s="51" t="s">
        <v>111</v>
      </c>
      <c r="V21" s="51">
        <f t="shared" si="2"/>
        <v>580416.1</v>
      </c>
      <c r="W21" s="51">
        <f t="shared" si="6"/>
        <v>20192350.800000004</v>
      </c>
      <c r="X21" s="51">
        <v>20173225.5</v>
      </c>
      <c r="Y21" s="51">
        <f t="shared" si="5"/>
        <v>-19125.30000000447</v>
      </c>
      <c r="Z21" s="50" t="str">
        <f>'1.2'!F20</f>
        <v>206-З</v>
      </c>
      <c r="AA21" s="58">
        <f>'1.1'!H20</f>
        <v>44918</v>
      </c>
      <c r="AB21" s="233" t="s">
        <v>218</v>
      </c>
      <c r="AC21" s="233" t="s">
        <v>111</v>
      </c>
      <c r="AD21" s="107" t="s">
        <v>568</v>
      </c>
      <c r="AE21" s="198" t="s">
        <v>111</v>
      </c>
      <c r="AF21" s="177"/>
      <c r="AG21" s="177"/>
      <c r="AH21" s="177"/>
      <c r="AI21" s="177"/>
      <c r="AJ21" s="177"/>
    </row>
    <row r="22" spans="1:43" s="30" customFormat="1" ht="15" customHeight="1">
      <c r="A22" s="107" t="s">
        <v>15</v>
      </c>
      <c r="B22" s="46" t="s">
        <v>418</v>
      </c>
      <c r="C22" s="47">
        <f t="shared" si="3"/>
        <v>2</v>
      </c>
      <c r="D22" s="47"/>
      <c r="E22" s="48">
        <f t="shared" si="8"/>
        <v>2</v>
      </c>
      <c r="F22" s="58" t="s">
        <v>239</v>
      </c>
      <c r="G22" s="58" t="s">
        <v>121</v>
      </c>
      <c r="H22" s="51">
        <v>25289316.5</v>
      </c>
      <c r="I22" s="51">
        <v>2168885</v>
      </c>
      <c r="J22" s="51">
        <v>8317556.5</v>
      </c>
      <c r="K22" s="51">
        <v>13215835.6</v>
      </c>
      <c r="L22" s="51">
        <v>1587039.4</v>
      </c>
      <c r="M22" s="51">
        <f t="shared" si="7"/>
        <v>25289316.5</v>
      </c>
      <c r="N22" s="51">
        <f t="shared" si="1"/>
        <v>0</v>
      </c>
      <c r="O22" s="53" t="s">
        <v>121</v>
      </c>
      <c r="P22" s="51">
        <v>2547</v>
      </c>
      <c r="Q22" s="51" t="s">
        <v>111</v>
      </c>
      <c r="R22" s="51" t="s">
        <v>111</v>
      </c>
      <c r="S22" s="51">
        <v>1112333.3</v>
      </c>
      <c r="T22" s="51" t="s">
        <v>111</v>
      </c>
      <c r="U22" s="51" t="s">
        <v>111</v>
      </c>
      <c r="V22" s="51">
        <f t="shared" si="2"/>
        <v>1114880.3</v>
      </c>
      <c r="W22" s="51">
        <f t="shared" si="6"/>
        <v>26404196.800000001</v>
      </c>
      <c r="X22" s="51">
        <v>26404196.799999993</v>
      </c>
      <c r="Y22" s="51">
        <f t="shared" si="5"/>
        <v>0</v>
      </c>
      <c r="Z22" s="50" t="str">
        <f>'1.2'!F21</f>
        <v>111-ЗО</v>
      </c>
      <c r="AA22" s="58">
        <f>'1.1'!H21</f>
        <v>44924</v>
      </c>
      <c r="AB22" s="233" t="s">
        <v>214</v>
      </c>
      <c r="AC22" s="233" t="s">
        <v>217</v>
      </c>
      <c r="AD22" s="107" t="s">
        <v>111</v>
      </c>
      <c r="AE22" s="198"/>
      <c r="AF22" s="177"/>
      <c r="AG22" s="177"/>
      <c r="AH22" s="177"/>
      <c r="AI22" s="177"/>
      <c r="AJ22" s="177"/>
    </row>
    <row r="23" spans="1:43" s="33" customFormat="1" ht="15" customHeight="1">
      <c r="A23" s="107" t="s">
        <v>16</v>
      </c>
      <c r="B23" s="46" t="s">
        <v>418</v>
      </c>
      <c r="C23" s="47">
        <f t="shared" si="3"/>
        <v>2</v>
      </c>
      <c r="D23" s="47">
        <v>0.5</v>
      </c>
      <c r="E23" s="48">
        <f t="shared" si="8"/>
        <v>1</v>
      </c>
      <c r="F23" s="52" t="s">
        <v>239</v>
      </c>
      <c r="G23" s="52" t="s">
        <v>121</v>
      </c>
      <c r="H23" s="51">
        <f>35691465492.65/1000</f>
        <v>35691465.492650002</v>
      </c>
      <c r="I23" s="51">
        <f>(1749982747.37+10000000+5000000+462411455.74+118241636.15+100000000+199786534.93)/1000</f>
        <v>2645422.3741899994</v>
      </c>
      <c r="J23" s="51">
        <f>7901469049.04/1000</f>
        <v>7901469.04904</v>
      </c>
      <c r="K23" s="51">
        <f>19862448617.31/1000</f>
        <v>19862448.617310002</v>
      </c>
      <c r="L23" s="51">
        <f>5282125452.11/1000</f>
        <v>5282125.45211</v>
      </c>
      <c r="M23" s="51">
        <f t="shared" si="7"/>
        <v>35691465.492650002</v>
      </c>
      <c r="N23" s="51">
        <f t="shared" si="1"/>
        <v>0</v>
      </c>
      <c r="O23" s="53" t="s">
        <v>121</v>
      </c>
      <c r="P23" s="51">
        <f xml:space="preserve"> 1689900/1000</f>
        <v>1689.9</v>
      </c>
      <c r="Q23" s="51" t="s">
        <v>111</v>
      </c>
      <c r="R23" s="51" t="s">
        <v>111</v>
      </c>
      <c r="S23" s="51">
        <f>(1000000+693990900+875067000)/1000</f>
        <v>1570057.9</v>
      </c>
      <c r="T23" s="51" t="s">
        <v>111</v>
      </c>
      <c r="U23" s="51" t="s">
        <v>111</v>
      </c>
      <c r="V23" s="51">
        <f t="shared" si="2"/>
        <v>1571747.7999999998</v>
      </c>
      <c r="W23" s="51">
        <f t="shared" si="6"/>
        <v>37263213.292649999</v>
      </c>
      <c r="X23" s="51">
        <v>37263213.292649984</v>
      </c>
      <c r="Y23" s="51">
        <f t="shared" si="5"/>
        <v>0</v>
      </c>
      <c r="Z23" s="50" t="str">
        <f>'1.2'!F22</f>
        <v>138-ЗТО</v>
      </c>
      <c r="AA23" s="58">
        <f>'1.1'!H22</f>
        <v>44916</v>
      </c>
      <c r="AB23" s="233" t="s">
        <v>248</v>
      </c>
      <c r="AC23" s="233" t="s">
        <v>111</v>
      </c>
      <c r="AD23" s="107" t="s">
        <v>566</v>
      </c>
      <c r="AE23" s="198" t="s">
        <v>111</v>
      </c>
      <c r="AF23" s="178"/>
      <c r="AG23" s="178"/>
      <c r="AH23" s="179"/>
      <c r="AI23" s="178"/>
      <c r="AJ23" s="178"/>
    </row>
    <row r="24" spans="1:43" ht="15" customHeight="1">
      <c r="A24" s="107" t="s">
        <v>17</v>
      </c>
      <c r="B24" s="46" t="s">
        <v>212</v>
      </c>
      <c r="C24" s="47">
        <f t="shared" si="3"/>
        <v>0</v>
      </c>
      <c r="D24" s="47"/>
      <c r="E24" s="48">
        <f t="shared" si="8"/>
        <v>0</v>
      </c>
      <c r="F24" s="58" t="s">
        <v>249</v>
      </c>
      <c r="G24" s="52" t="s">
        <v>249</v>
      </c>
      <c r="H24" s="51" t="s">
        <v>111</v>
      </c>
      <c r="I24" s="185">
        <f>5681019210/1000</f>
        <v>5681019.21</v>
      </c>
      <c r="J24" s="51">
        <f>10756323913/1000</f>
        <v>10756323.913000001</v>
      </c>
      <c r="K24" s="51">
        <f>29011954752/1000</f>
        <v>29011954.752</v>
      </c>
      <c r="L24" s="189">
        <f>(1983813570+1976796020)/1000</f>
        <v>3960609.59</v>
      </c>
      <c r="M24" s="51">
        <f t="shared" si="7"/>
        <v>49409907.465000004</v>
      </c>
      <c r="N24" s="51" t="s">
        <v>111</v>
      </c>
      <c r="O24" s="53" t="s">
        <v>121</v>
      </c>
      <c r="P24" s="51">
        <f>1856290/1000</f>
        <v>1856.29</v>
      </c>
      <c r="Q24" s="51" t="s">
        <v>111</v>
      </c>
      <c r="R24" s="51" t="s">
        <v>111</v>
      </c>
      <c r="S24" s="51">
        <f>(1899621800+7017550)/1000</f>
        <v>1906639.35</v>
      </c>
      <c r="T24" s="51" t="s">
        <v>111</v>
      </c>
      <c r="U24" s="51" t="s">
        <v>111</v>
      </c>
      <c r="V24" s="51">
        <f>SUM(P24:U24)</f>
        <v>1908495.6400000001</v>
      </c>
      <c r="W24" s="51">
        <f>M24+V24</f>
        <v>51318403.105000004</v>
      </c>
      <c r="X24" s="51">
        <v>49334589.534999996</v>
      </c>
      <c r="Y24" s="51">
        <f t="shared" si="5"/>
        <v>-1983813.5700000077</v>
      </c>
      <c r="Z24" s="50" t="str">
        <f>'1.2'!F23</f>
        <v>76-з</v>
      </c>
      <c r="AA24" s="58">
        <f>'1.1'!H23</f>
        <v>44918</v>
      </c>
      <c r="AB24" s="233" t="s">
        <v>441</v>
      </c>
      <c r="AC24" s="233">
        <v>11</v>
      </c>
      <c r="AD24" s="107" t="s">
        <v>570</v>
      </c>
      <c r="AE24" s="213" t="s">
        <v>111</v>
      </c>
      <c r="AF24" s="175"/>
      <c r="AG24" s="175"/>
      <c r="AH24" s="175"/>
      <c r="AI24" s="175"/>
      <c r="AJ24" s="175"/>
    </row>
    <row r="25" spans="1:43" ht="15" customHeight="1">
      <c r="A25" s="107" t="s">
        <v>545</v>
      </c>
      <c r="B25" s="46" t="s">
        <v>419</v>
      </c>
      <c r="C25" s="47">
        <f t="shared" si="3"/>
        <v>1</v>
      </c>
      <c r="D25" s="47"/>
      <c r="E25" s="48">
        <f t="shared" si="8"/>
        <v>1</v>
      </c>
      <c r="F25" s="58" t="s">
        <v>232</v>
      </c>
      <c r="G25" s="52" t="s">
        <v>121</v>
      </c>
      <c r="H25" s="51">
        <v>8075146.2999999998</v>
      </c>
      <c r="I25" s="51">
        <v>400000</v>
      </c>
      <c r="J25" s="51">
        <v>6449837.2999999998</v>
      </c>
      <c r="K25" s="51">
        <v>886429</v>
      </c>
      <c r="L25" s="51">
        <v>338880</v>
      </c>
      <c r="M25" s="51">
        <f t="shared" si="7"/>
        <v>8075146.2999999998</v>
      </c>
      <c r="N25" s="51">
        <f t="shared" si="1"/>
        <v>0</v>
      </c>
      <c r="O25" s="53" t="s">
        <v>122</v>
      </c>
      <c r="P25" s="51" t="s">
        <v>111</v>
      </c>
      <c r="Q25" s="51" t="s">
        <v>111</v>
      </c>
      <c r="R25" s="51" t="s">
        <v>111</v>
      </c>
      <c r="S25" s="51" t="s">
        <v>111</v>
      </c>
      <c r="T25" s="51">
        <v>7496382.0999999996</v>
      </c>
      <c r="U25" s="51" t="s">
        <v>111</v>
      </c>
      <c r="V25" s="51">
        <f t="shared" si="2"/>
        <v>7496382.0999999996</v>
      </c>
      <c r="W25" s="51">
        <f t="shared" si="6"/>
        <v>15571528.399999999</v>
      </c>
      <c r="X25" s="51">
        <v>69860543.5</v>
      </c>
      <c r="Y25" s="51">
        <f t="shared" si="5"/>
        <v>54289015.100000001</v>
      </c>
      <c r="Z25" s="50">
        <f>'1.2'!F24</f>
        <v>30</v>
      </c>
      <c r="AA25" s="58">
        <f>'1.1'!H24</f>
        <v>44867</v>
      </c>
      <c r="AB25" s="233">
        <v>7</v>
      </c>
      <c r="AC25" s="233" t="s">
        <v>111</v>
      </c>
      <c r="AD25" s="107" t="s">
        <v>606</v>
      </c>
      <c r="AE25" s="213" t="s">
        <v>111</v>
      </c>
      <c r="AF25" s="175"/>
      <c r="AG25" s="175"/>
      <c r="AH25" s="175"/>
      <c r="AI25" s="175"/>
      <c r="AJ25" s="175"/>
    </row>
    <row r="26" spans="1:43" ht="15" customHeight="1">
      <c r="A26" s="120" t="s">
        <v>18</v>
      </c>
      <c r="B26" s="43"/>
      <c r="C26" s="43"/>
      <c r="D26" s="43"/>
      <c r="E26" s="43"/>
      <c r="F26" s="59"/>
      <c r="G26" s="59"/>
      <c r="H26" s="55"/>
      <c r="I26" s="55"/>
      <c r="J26" s="55"/>
      <c r="K26" s="55"/>
      <c r="L26" s="55"/>
      <c r="M26" s="56"/>
      <c r="N26" s="56"/>
      <c r="O26" s="55"/>
      <c r="P26" s="55"/>
      <c r="Q26" s="55"/>
      <c r="R26" s="55"/>
      <c r="S26" s="55"/>
      <c r="T26" s="56"/>
      <c r="U26" s="56"/>
      <c r="V26" s="56"/>
      <c r="W26" s="56"/>
      <c r="X26" s="56"/>
      <c r="Y26" s="56"/>
      <c r="Z26" s="239"/>
      <c r="AA26" s="59"/>
      <c r="AB26" s="45"/>
      <c r="AC26" s="45"/>
      <c r="AD26" s="120"/>
      <c r="AE26" s="198"/>
      <c r="AF26" s="175"/>
      <c r="AG26" s="175"/>
      <c r="AH26" s="175"/>
      <c r="AI26" s="175"/>
      <c r="AJ26" s="175"/>
    </row>
    <row r="27" spans="1:43" s="7" customFormat="1" ht="15" customHeight="1">
      <c r="A27" s="107" t="s">
        <v>19</v>
      </c>
      <c r="B27" s="46" t="s">
        <v>418</v>
      </c>
      <c r="C27" s="47">
        <f t="shared" si="3"/>
        <v>2</v>
      </c>
      <c r="D27" s="47"/>
      <c r="E27" s="48">
        <f t="shared" ref="E27:E37" si="9">C27*(1-D27)</f>
        <v>2</v>
      </c>
      <c r="F27" s="58" t="s">
        <v>239</v>
      </c>
      <c r="G27" s="58" t="s">
        <v>121</v>
      </c>
      <c r="H27" s="51">
        <v>18177674.899999999</v>
      </c>
      <c r="I27" s="51">
        <v>1200000</v>
      </c>
      <c r="J27" s="51">
        <v>5579108.2000000002</v>
      </c>
      <c r="K27" s="51">
        <v>10498742.4</v>
      </c>
      <c r="L27" s="51">
        <v>899824.3</v>
      </c>
      <c r="M27" s="51">
        <f t="shared" si="7"/>
        <v>18177674.900000002</v>
      </c>
      <c r="N27" s="51">
        <f t="shared" si="1"/>
        <v>0</v>
      </c>
      <c r="O27" s="53" t="s">
        <v>121</v>
      </c>
      <c r="P27" s="51">
        <v>3185</v>
      </c>
      <c r="Q27" s="51" t="s">
        <v>111</v>
      </c>
      <c r="R27" s="51" t="s">
        <v>111</v>
      </c>
      <c r="S27" s="51">
        <v>63007.3</v>
      </c>
      <c r="T27" s="51" t="s">
        <v>111</v>
      </c>
      <c r="U27" s="51" t="s">
        <v>111</v>
      </c>
      <c r="V27" s="51">
        <f t="shared" ref="V27:V36" si="10">SUM(P27:U27)</f>
        <v>66192.3</v>
      </c>
      <c r="W27" s="51">
        <f t="shared" si="6"/>
        <v>18243867.200000003</v>
      </c>
      <c r="X27" s="51">
        <v>18243867.199999999</v>
      </c>
      <c r="Y27" s="51">
        <f t="shared" si="5"/>
        <v>0</v>
      </c>
      <c r="Z27" s="50" t="str">
        <f>'1.2'!F26</f>
        <v>2776-ЗРК</v>
      </c>
      <c r="AA27" s="58">
        <f>'1.1'!H26</f>
        <v>44916</v>
      </c>
      <c r="AB27" s="233">
        <v>5</v>
      </c>
      <c r="AC27" s="233" t="s">
        <v>111</v>
      </c>
      <c r="AD27" s="107" t="s">
        <v>111</v>
      </c>
      <c r="AE27" s="198"/>
      <c r="AF27" s="176"/>
      <c r="AG27" s="181"/>
      <c r="AH27" s="176"/>
      <c r="AI27" s="176"/>
      <c r="AJ27" s="176"/>
    </row>
    <row r="28" spans="1:43" ht="15" customHeight="1">
      <c r="A28" s="107" t="s">
        <v>20</v>
      </c>
      <c r="B28" s="46" t="s">
        <v>418</v>
      </c>
      <c r="C28" s="47">
        <f t="shared" si="3"/>
        <v>2</v>
      </c>
      <c r="D28" s="47"/>
      <c r="E28" s="48">
        <f t="shared" si="9"/>
        <v>2</v>
      </c>
      <c r="F28" s="58" t="s">
        <v>239</v>
      </c>
      <c r="G28" s="58" t="s">
        <v>121</v>
      </c>
      <c r="H28" s="51">
        <v>33106701.300000001</v>
      </c>
      <c r="I28" s="51">
        <v>3950308.1</v>
      </c>
      <c r="J28" s="51">
        <v>9034133.4000000004</v>
      </c>
      <c r="K28" s="51">
        <v>19319907.5</v>
      </c>
      <c r="L28" s="51">
        <v>802352.3</v>
      </c>
      <c r="M28" s="51">
        <f t="shared" si="7"/>
        <v>33106701.300000001</v>
      </c>
      <c r="N28" s="51">
        <f t="shared" si="1"/>
        <v>0</v>
      </c>
      <c r="O28" s="53" t="s">
        <v>121</v>
      </c>
      <c r="P28" s="51">
        <v>17397.400000000001</v>
      </c>
      <c r="Q28" s="51" t="s">
        <v>111</v>
      </c>
      <c r="R28" s="282">
        <v>2233526.1</v>
      </c>
      <c r="S28" s="284"/>
      <c r="T28" s="51" t="s">
        <v>111</v>
      </c>
      <c r="U28" s="51" t="s">
        <v>111</v>
      </c>
      <c r="V28" s="51">
        <f t="shared" si="10"/>
        <v>2250923.5</v>
      </c>
      <c r="W28" s="51">
        <f t="shared" si="6"/>
        <v>35357624.799999997</v>
      </c>
      <c r="X28" s="51">
        <v>35357624.700000003</v>
      </c>
      <c r="Y28" s="51">
        <f t="shared" si="5"/>
        <v>-9.9999994039535522E-2</v>
      </c>
      <c r="Z28" s="50" t="str">
        <f>'1.2'!F27</f>
        <v>104-РЗ</v>
      </c>
      <c r="AA28" s="58">
        <f>'1.1'!H27</f>
        <v>44900</v>
      </c>
      <c r="AB28" s="233">
        <v>3</v>
      </c>
      <c r="AC28" s="233" t="s">
        <v>111</v>
      </c>
      <c r="AD28" s="107" t="s">
        <v>567</v>
      </c>
      <c r="AE28" s="198" t="s">
        <v>111</v>
      </c>
      <c r="AF28" s="175"/>
      <c r="AG28" s="175"/>
      <c r="AH28" s="175"/>
      <c r="AI28" s="175"/>
      <c r="AJ28" s="175"/>
    </row>
    <row r="29" spans="1:43" ht="15" customHeight="1">
      <c r="A29" s="107" t="s">
        <v>21</v>
      </c>
      <c r="B29" s="46" t="s">
        <v>418</v>
      </c>
      <c r="C29" s="47">
        <f t="shared" si="3"/>
        <v>2</v>
      </c>
      <c r="D29" s="47"/>
      <c r="E29" s="48">
        <f t="shared" si="9"/>
        <v>2</v>
      </c>
      <c r="F29" s="58" t="s">
        <v>239</v>
      </c>
      <c r="G29" s="58" t="s">
        <v>121</v>
      </c>
      <c r="H29" s="51">
        <f>44356474672.52/1000</f>
        <v>44356474.672519997</v>
      </c>
      <c r="I29" s="51">
        <f>2151276842.52/1000</f>
        <v>2151276.8425199999</v>
      </c>
      <c r="J29" s="51">
        <f>13250562703.83/1000</f>
        <v>13250562.70383</v>
      </c>
      <c r="K29" s="51">
        <f>22846020152.58/1000</f>
        <v>22846020.15258</v>
      </c>
      <c r="L29" s="51">
        <f>6108614973.59/1000</f>
        <v>6108614.9735900005</v>
      </c>
      <c r="M29" s="51">
        <f t="shared" si="7"/>
        <v>44356474.672520004</v>
      </c>
      <c r="N29" s="51">
        <f t="shared" si="1"/>
        <v>0</v>
      </c>
      <c r="O29" s="53" t="s">
        <v>121</v>
      </c>
      <c r="P29" s="51">
        <f>3428400/1000</f>
        <v>3428.4</v>
      </c>
      <c r="Q29" s="51" t="s">
        <v>111</v>
      </c>
      <c r="R29" s="51" t="s">
        <v>111</v>
      </c>
      <c r="S29" s="51">
        <f>815419500/1000</f>
        <v>815419.5</v>
      </c>
      <c r="T29" s="51" t="s">
        <v>111</v>
      </c>
      <c r="U29" s="51" t="s">
        <v>111</v>
      </c>
      <c r="V29" s="51">
        <f t="shared" si="10"/>
        <v>818847.9</v>
      </c>
      <c r="W29" s="51">
        <f t="shared" si="6"/>
        <v>45175322.572520003</v>
      </c>
      <c r="X29" s="51">
        <v>45175322.572520003</v>
      </c>
      <c r="Y29" s="51">
        <f t="shared" si="5"/>
        <v>0</v>
      </c>
      <c r="Z29" s="50" t="str">
        <f>'1.2'!F28</f>
        <v>655-40-ОЗ</v>
      </c>
      <c r="AA29" s="58">
        <f>'1.1'!H28</f>
        <v>44915</v>
      </c>
      <c r="AB29" s="233">
        <v>9</v>
      </c>
      <c r="AC29" s="233" t="s">
        <v>442</v>
      </c>
      <c r="AD29" s="107" t="s">
        <v>111</v>
      </c>
      <c r="AE29" s="198" t="s">
        <v>111</v>
      </c>
      <c r="AF29" s="175"/>
      <c r="AG29" s="175"/>
      <c r="AH29" s="175"/>
      <c r="AI29" s="175"/>
      <c r="AJ29" s="175"/>
    </row>
    <row r="30" spans="1:43" ht="15" customHeight="1">
      <c r="A30" s="107" t="s">
        <v>22</v>
      </c>
      <c r="B30" s="46" t="s">
        <v>418</v>
      </c>
      <c r="C30" s="47">
        <f t="shared" si="3"/>
        <v>2</v>
      </c>
      <c r="D30" s="47"/>
      <c r="E30" s="48">
        <f t="shared" si="9"/>
        <v>2</v>
      </c>
      <c r="F30" s="58" t="s">
        <v>239</v>
      </c>
      <c r="G30" s="58" t="s">
        <v>121</v>
      </c>
      <c r="H30" s="51">
        <v>46359170.700000003</v>
      </c>
      <c r="I30" s="51">
        <v>6259411</v>
      </c>
      <c r="J30" s="51">
        <v>21112480.300000001</v>
      </c>
      <c r="K30" s="51">
        <v>17861911.699999999</v>
      </c>
      <c r="L30" s="51">
        <v>1125367.7</v>
      </c>
      <c r="M30" s="51">
        <f t="shared" si="7"/>
        <v>46359170.700000003</v>
      </c>
      <c r="N30" s="51">
        <f t="shared" si="1"/>
        <v>0</v>
      </c>
      <c r="O30" s="53" t="s">
        <v>121</v>
      </c>
      <c r="P30" s="51">
        <v>7660.9</v>
      </c>
      <c r="Q30" s="51" t="s">
        <v>111</v>
      </c>
      <c r="R30" s="51" t="s">
        <v>111</v>
      </c>
      <c r="S30" s="51">
        <f>2154219+30000</f>
        <v>2184219</v>
      </c>
      <c r="T30" s="51" t="s">
        <v>111</v>
      </c>
      <c r="U30" s="51" t="s">
        <v>111</v>
      </c>
      <c r="V30" s="51">
        <f t="shared" si="10"/>
        <v>2191879.9</v>
      </c>
      <c r="W30" s="51">
        <f t="shared" si="6"/>
        <v>48551050.600000001</v>
      </c>
      <c r="X30" s="51">
        <v>48551050.599999994</v>
      </c>
      <c r="Y30" s="51">
        <f t="shared" si="5"/>
        <v>0</v>
      </c>
      <c r="Z30" s="50" t="str">
        <f>'1.2'!F29</f>
        <v>5283-ОЗ</v>
      </c>
      <c r="AA30" s="58">
        <f>'1.1'!H29</f>
        <v>44908</v>
      </c>
      <c r="AB30" s="233">
        <v>6</v>
      </c>
      <c r="AC30" s="233" t="s">
        <v>111</v>
      </c>
      <c r="AD30" s="107" t="s">
        <v>111</v>
      </c>
      <c r="AE30" s="198" t="s">
        <v>111</v>
      </c>
      <c r="AF30" s="175"/>
      <c r="AG30" s="175"/>
      <c r="AH30" s="175"/>
      <c r="AI30" s="175"/>
      <c r="AJ30" s="175"/>
    </row>
    <row r="31" spans="1:43" s="30" customFormat="1" ht="15" customHeight="1">
      <c r="A31" s="107" t="s">
        <v>23</v>
      </c>
      <c r="B31" s="46" t="s">
        <v>212</v>
      </c>
      <c r="C31" s="47">
        <f t="shared" si="3"/>
        <v>0</v>
      </c>
      <c r="D31" s="47"/>
      <c r="E31" s="48">
        <f t="shared" si="9"/>
        <v>0</v>
      </c>
      <c r="F31" s="58" t="s">
        <v>249</v>
      </c>
      <c r="G31" s="58" t="s">
        <v>249</v>
      </c>
      <c r="H31" s="189">
        <v>28612258.780000001</v>
      </c>
      <c r="I31" s="189">
        <f>1668359+150000+135000</f>
        <v>1953359</v>
      </c>
      <c r="J31" s="189">
        <v>9742422.4600000009</v>
      </c>
      <c r="K31" s="189">
        <v>14876569.27</v>
      </c>
      <c r="L31" s="189">
        <v>2039908.06</v>
      </c>
      <c r="M31" s="51">
        <f t="shared" si="7"/>
        <v>28612258.789999999</v>
      </c>
      <c r="N31" s="51">
        <f t="shared" si="1"/>
        <v>-9.9999979138374329E-3</v>
      </c>
      <c r="O31" s="53" t="s">
        <v>122</v>
      </c>
      <c r="P31" s="51" t="s">
        <v>111</v>
      </c>
      <c r="Q31" s="51" t="s">
        <v>111</v>
      </c>
      <c r="R31" s="51" t="s">
        <v>111</v>
      </c>
      <c r="S31" s="51" t="s">
        <v>111</v>
      </c>
      <c r="T31" s="51" t="s">
        <v>111</v>
      </c>
      <c r="U31" s="51" t="s">
        <v>111</v>
      </c>
      <c r="V31" s="51">
        <f t="shared" si="10"/>
        <v>0</v>
      </c>
      <c r="W31" s="51">
        <f t="shared" si="6"/>
        <v>28612258.789999999</v>
      </c>
      <c r="X31" s="51">
        <v>30358563.620000008</v>
      </c>
      <c r="Y31" s="51">
        <f t="shared" si="5"/>
        <v>1746304.8300000094</v>
      </c>
      <c r="Z31" s="50">
        <f>'1.2'!F30</f>
        <v>167</v>
      </c>
      <c r="AA31" s="58">
        <f>'1.1'!H30</f>
        <v>44917</v>
      </c>
      <c r="AB31" s="233" t="s">
        <v>587</v>
      </c>
      <c r="AC31" s="233" t="s">
        <v>111</v>
      </c>
      <c r="AD31" s="107" t="s">
        <v>663</v>
      </c>
      <c r="AE31" s="198" t="s">
        <v>111</v>
      </c>
      <c r="AF31" s="177"/>
      <c r="AG31" s="177"/>
      <c r="AH31" s="177"/>
      <c r="AI31" s="177"/>
      <c r="AJ31" s="177"/>
    </row>
    <row r="32" spans="1:43" ht="15" customHeight="1">
      <c r="A32" s="107" t="s">
        <v>24</v>
      </c>
      <c r="B32" s="46" t="s">
        <v>418</v>
      </c>
      <c r="C32" s="47">
        <f t="shared" si="3"/>
        <v>2</v>
      </c>
      <c r="D32" s="47"/>
      <c r="E32" s="48">
        <f t="shared" si="9"/>
        <v>2</v>
      </c>
      <c r="F32" s="58" t="s">
        <v>239</v>
      </c>
      <c r="G32" s="58" t="s">
        <v>121</v>
      </c>
      <c r="H32" s="51">
        <v>53829495.299999997</v>
      </c>
      <c r="I32" s="51">
        <v>3724815.5</v>
      </c>
      <c r="J32" s="51">
        <v>13751129</v>
      </c>
      <c r="K32" s="51">
        <v>35738533.799999997</v>
      </c>
      <c r="L32" s="51">
        <v>615017</v>
      </c>
      <c r="M32" s="51">
        <f t="shared" si="7"/>
        <v>53829495.299999997</v>
      </c>
      <c r="N32" s="51">
        <f t="shared" si="1"/>
        <v>0</v>
      </c>
      <c r="O32" s="53" t="s">
        <v>121</v>
      </c>
      <c r="P32" s="51">
        <v>150000</v>
      </c>
      <c r="Q32" s="51">
        <f>900422.7+309564</f>
        <v>1209986.7</v>
      </c>
      <c r="R32" s="51" t="s">
        <v>111</v>
      </c>
      <c r="S32" s="51">
        <f>6621.9+1421402.7+1792275.1</f>
        <v>3220299.7</v>
      </c>
      <c r="T32" s="51">
        <v>5919380</v>
      </c>
      <c r="U32" s="51" t="s">
        <v>111</v>
      </c>
      <c r="V32" s="51">
        <f t="shared" si="10"/>
        <v>10499666.4</v>
      </c>
      <c r="W32" s="51">
        <f t="shared" si="6"/>
        <v>64329161.699999996</v>
      </c>
      <c r="X32" s="51">
        <v>64329161.700000018</v>
      </c>
      <c r="Y32" s="51">
        <f t="shared" si="5"/>
        <v>0</v>
      </c>
      <c r="Z32" s="50" t="str">
        <f>'1.2'!F31</f>
        <v>151-оз</v>
      </c>
      <c r="AA32" s="58">
        <f>'1.1'!H31</f>
        <v>44914</v>
      </c>
      <c r="AB32" s="233">
        <v>7</v>
      </c>
      <c r="AC32" s="233">
        <v>11</v>
      </c>
      <c r="AD32" s="107" t="s">
        <v>111</v>
      </c>
      <c r="AE32" s="198"/>
      <c r="AF32" s="175"/>
      <c r="AG32" s="175"/>
      <c r="AH32" s="175"/>
      <c r="AI32" s="175"/>
      <c r="AJ32" s="175"/>
    </row>
    <row r="33" spans="1:36" ht="15" customHeight="1">
      <c r="A33" s="107" t="s">
        <v>25</v>
      </c>
      <c r="B33" s="46" t="s">
        <v>418</v>
      </c>
      <c r="C33" s="47">
        <f t="shared" si="3"/>
        <v>2</v>
      </c>
      <c r="D33" s="47"/>
      <c r="E33" s="48">
        <f t="shared" si="9"/>
        <v>2</v>
      </c>
      <c r="F33" s="58" t="s">
        <v>239</v>
      </c>
      <c r="G33" s="58" t="s">
        <v>121</v>
      </c>
      <c r="H33" s="51">
        <v>38550469.299999997</v>
      </c>
      <c r="I33" s="51">
        <v>5559132.5999999996</v>
      </c>
      <c r="J33" s="51">
        <v>12988434.6</v>
      </c>
      <c r="K33" s="51">
        <v>18394188</v>
      </c>
      <c r="L33" s="51">
        <v>1608714.2</v>
      </c>
      <c r="M33" s="51">
        <f t="shared" si="7"/>
        <v>38550469.400000006</v>
      </c>
      <c r="N33" s="51">
        <f t="shared" si="1"/>
        <v>-0.10000000894069672</v>
      </c>
      <c r="O33" s="53" t="s">
        <v>121</v>
      </c>
      <c r="P33" s="51">
        <v>14574.5</v>
      </c>
      <c r="Q33" s="51" t="s">
        <v>111</v>
      </c>
      <c r="R33" s="51" t="s">
        <v>111</v>
      </c>
      <c r="S33" s="51">
        <v>1720947.7</v>
      </c>
      <c r="T33" s="51">
        <v>602616.5</v>
      </c>
      <c r="U33" s="51" t="s">
        <v>111</v>
      </c>
      <c r="V33" s="51">
        <f t="shared" si="10"/>
        <v>2338138.7000000002</v>
      </c>
      <c r="W33" s="51">
        <f t="shared" si="6"/>
        <v>40888608.100000009</v>
      </c>
      <c r="X33" s="51">
        <v>40888608.039180011</v>
      </c>
      <c r="Y33" s="51">
        <f t="shared" si="5"/>
        <v>-6.0819998383522034E-2</v>
      </c>
      <c r="Z33" s="50" t="str">
        <f>'1.2'!F32</f>
        <v>2845-01-ЗМО</v>
      </c>
      <c r="AA33" s="58">
        <f>'1.1'!H32</f>
        <v>44915</v>
      </c>
      <c r="AB33" s="233" t="s">
        <v>293</v>
      </c>
      <c r="AC33" s="233" t="s">
        <v>111</v>
      </c>
      <c r="AD33" s="107" t="s">
        <v>111</v>
      </c>
      <c r="AE33" s="198"/>
      <c r="AF33" s="175"/>
      <c r="AG33" s="175"/>
      <c r="AH33" s="175"/>
      <c r="AI33" s="175"/>
      <c r="AJ33" s="175"/>
    </row>
    <row r="34" spans="1:36" ht="15" customHeight="1">
      <c r="A34" s="107" t="s">
        <v>26</v>
      </c>
      <c r="B34" s="46" t="s">
        <v>419</v>
      </c>
      <c r="C34" s="47">
        <f t="shared" si="3"/>
        <v>1</v>
      </c>
      <c r="D34" s="47"/>
      <c r="E34" s="48">
        <f t="shared" si="9"/>
        <v>1</v>
      </c>
      <c r="F34" s="58" t="s">
        <v>232</v>
      </c>
      <c r="G34" s="58" t="s">
        <v>121</v>
      </c>
      <c r="H34" s="51">
        <v>15442686.740560001</v>
      </c>
      <c r="I34" s="51">
        <v>693012.4</v>
      </c>
      <c r="J34" s="51">
        <v>7851039.9063900001</v>
      </c>
      <c r="K34" s="51">
        <v>6252141.0599999996</v>
      </c>
      <c r="L34" s="51">
        <v>646493.37416999997</v>
      </c>
      <c r="M34" s="51">
        <f t="shared" si="7"/>
        <v>15442686.740560001</v>
      </c>
      <c r="N34" s="51">
        <f t="shared" si="1"/>
        <v>0</v>
      </c>
      <c r="O34" s="53" t="s">
        <v>249</v>
      </c>
      <c r="P34" s="51" t="s">
        <v>111</v>
      </c>
      <c r="Q34" s="51" t="s">
        <v>111</v>
      </c>
      <c r="R34" s="51" t="s">
        <v>111</v>
      </c>
      <c r="S34" s="51" t="s">
        <v>111</v>
      </c>
      <c r="T34" s="189">
        <v>2848140.6</v>
      </c>
      <c r="U34" s="51" t="s">
        <v>111</v>
      </c>
      <c r="V34" s="51">
        <f t="shared" si="10"/>
        <v>2848140.6</v>
      </c>
      <c r="W34" s="51">
        <f t="shared" si="6"/>
        <v>18290827.34056</v>
      </c>
      <c r="X34" s="51">
        <v>16314462.04056</v>
      </c>
      <c r="Y34" s="51">
        <f t="shared" si="5"/>
        <v>-1976365.3000000007</v>
      </c>
      <c r="Z34" s="50" t="str">
        <f>'1.2'!F33</f>
        <v>251-ОЗ</v>
      </c>
      <c r="AA34" s="58">
        <f>'1.1'!H33</f>
        <v>44917</v>
      </c>
      <c r="AB34" s="233">
        <v>14</v>
      </c>
      <c r="AC34" s="233">
        <v>12</v>
      </c>
      <c r="AD34" s="107" t="s">
        <v>604</v>
      </c>
      <c r="AE34" s="198" t="s">
        <v>111</v>
      </c>
      <c r="AF34" s="175"/>
      <c r="AG34" s="175"/>
      <c r="AH34" s="175"/>
      <c r="AI34" s="175"/>
      <c r="AJ34" s="175"/>
    </row>
    <row r="35" spans="1:36" ht="15" customHeight="1">
      <c r="A35" s="107" t="s">
        <v>27</v>
      </c>
      <c r="B35" s="46" t="s">
        <v>418</v>
      </c>
      <c r="C35" s="47">
        <f t="shared" si="3"/>
        <v>2</v>
      </c>
      <c r="D35" s="47"/>
      <c r="E35" s="48">
        <f t="shared" si="9"/>
        <v>2</v>
      </c>
      <c r="F35" s="58" t="s">
        <v>239</v>
      </c>
      <c r="G35" s="58" t="s">
        <v>121</v>
      </c>
      <c r="H35" s="51" t="s">
        <v>111</v>
      </c>
      <c r="I35" s="51">
        <v>2555349</v>
      </c>
      <c r="J35" s="51">
        <v>7129749</v>
      </c>
      <c r="K35" s="51">
        <v>5221615</v>
      </c>
      <c r="L35" s="51">
        <v>1059088</v>
      </c>
      <c r="M35" s="51">
        <f t="shared" si="7"/>
        <v>15965801</v>
      </c>
      <c r="N35" s="51" t="s">
        <v>111</v>
      </c>
      <c r="O35" s="53" t="s">
        <v>121</v>
      </c>
      <c r="P35" s="51">
        <f>3994+1729</f>
        <v>5723</v>
      </c>
      <c r="Q35" s="51" t="s">
        <v>111</v>
      </c>
      <c r="R35" s="51" t="s">
        <v>111</v>
      </c>
      <c r="S35" s="51">
        <f>22526+28403+8000</f>
        <v>58929</v>
      </c>
      <c r="T35" s="51" t="s">
        <v>111</v>
      </c>
      <c r="U35" s="51" t="s">
        <v>111</v>
      </c>
      <c r="V35" s="51">
        <f t="shared" si="10"/>
        <v>64652</v>
      </c>
      <c r="W35" s="51">
        <f t="shared" si="6"/>
        <v>16030453</v>
      </c>
      <c r="X35" s="51">
        <v>16030453</v>
      </c>
      <c r="Y35" s="51">
        <f t="shared" si="5"/>
        <v>0</v>
      </c>
      <c r="Z35" s="50" t="str">
        <f>'1.2'!F34</f>
        <v>2318-ОЗ</v>
      </c>
      <c r="AA35" s="58">
        <f>'1.1'!H34</f>
        <v>44924</v>
      </c>
      <c r="AB35" s="233">
        <v>8</v>
      </c>
      <c r="AC35" s="233" t="s">
        <v>111</v>
      </c>
      <c r="AD35" s="107" t="s">
        <v>111</v>
      </c>
      <c r="AE35" s="198"/>
      <c r="AF35" s="175"/>
      <c r="AG35" s="175"/>
      <c r="AH35" s="175"/>
      <c r="AI35" s="175"/>
      <c r="AJ35" s="175"/>
    </row>
    <row r="36" spans="1:36" ht="15" customHeight="1">
      <c r="A36" s="107" t="s">
        <v>546</v>
      </c>
      <c r="B36" s="46" t="s">
        <v>419</v>
      </c>
      <c r="C36" s="47">
        <f t="shared" si="3"/>
        <v>1</v>
      </c>
      <c r="D36" s="47"/>
      <c r="E36" s="48">
        <f t="shared" si="9"/>
        <v>1</v>
      </c>
      <c r="F36" s="58" t="s">
        <v>232</v>
      </c>
      <c r="G36" s="58" t="s">
        <v>121</v>
      </c>
      <c r="H36" s="51">
        <v>13838700.699999999</v>
      </c>
      <c r="I36" s="51">
        <f>9857365.6+20000</f>
        <v>9877365.5999999996</v>
      </c>
      <c r="J36" s="51">
        <v>1885500.6</v>
      </c>
      <c r="K36" s="51">
        <v>2075834.5</v>
      </c>
      <c r="L36" s="51" t="s">
        <v>111</v>
      </c>
      <c r="M36" s="51">
        <f t="shared" si="7"/>
        <v>13838700.699999999</v>
      </c>
      <c r="N36" s="51">
        <f t="shared" si="1"/>
        <v>0</v>
      </c>
      <c r="O36" s="53" t="s">
        <v>122</v>
      </c>
      <c r="P36" s="51" t="s">
        <v>111</v>
      </c>
      <c r="Q36" s="51" t="s">
        <v>111</v>
      </c>
      <c r="R36" s="51" t="s">
        <v>111</v>
      </c>
      <c r="S36" s="51" t="s">
        <v>111</v>
      </c>
      <c r="T36" s="51" t="s">
        <v>111</v>
      </c>
      <c r="U36" s="51" t="s">
        <v>111</v>
      </c>
      <c r="V36" s="51">
        <f t="shared" si="10"/>
        <v>0</v>
      </c>
      <c r="W36" s="51">
        <f t="shared" si="6"/>
        <v>13838700.699999999</v>
      </c>
      <c r="X36" s="51">
        <v>42492757.199999988</v>
      </c>
      <c r="Y36" s="51">
        <f t="shared" si="5"/>
        <v>28654056.499999989</v>
      </c>
      <c r="Z36" s="50" t="str">
        <f>'1.2'!F35</f>
        <v>666-104</v>
      </c>
      <c r="AA36" s="58">
        <f>'1.1'!H35</f>
        <v>44888</v>
      </c>
      <c r="AB36" s="233" t="s">
        <v>215</v>
      </c>
      <c r="AC36" s="233" t="s">
        <v>111</v>
      </c>
      <c r="AD36" s="107" t="s">
        <v>614</v>
      </c>
      <c r="AE36" s="198" t="s">
        <v>111</v>
      </c>
      <c r="AF36" s="175"/>
      <c r="AG36" s="175"/>
      <c r="AH36" s="175"/>
      <c r="AI36" s="175"/>
      <c r="AJ36" s="175"/>
    </row>
    <row r="37" spans="1:36" ht="15" customHeight="1">
      <c r="A37" s="107" t="s">
        <v>28</v>
      </c>
      <c r="B37" s="46" t="s">
        <v>419</v>
      </c>
      <c r="C37" s="47">
        <f t="shared" si="3"/>
        <v>1</v>
      </c>
      <c r="D37" s="47"/>
      <c r="E37" s="48">
        <f t="shared" si="9"/>
        <v>1</v>
      </c>
      <c r="F37" s="58" t="s">
        <v>232</v>
      </c>
      <c r="G37" s="58" t="s">
        <v>121</v>
      </c>
      <c r="H37" s="51">
        <v>1104496.2</v>
      </c>
      <c r="I37" s="51">
        <v>222331.2</v>
      </c>
      <c r="J37" s="51">
        <v>854603.2</v>
      </c>
      <c r="K37" s="51">
        <v>27561.8</v>
      </c>
      <c r="L37" s="51" t="s">
        <v>111</v>
      </c>
      <c r="M37" s="51">
        <f t="shared" si="7"/>
        <v>1104496.2</v>
      </c>
      <c r="N37" s="51">
        <f t="shared" si="1"/>
        <v>0</v>
      </c>
      <c r="O37" s="53" t="s">
        <v>122</v>
      </c>
      <c r="P37" s="51">
        <v>182.9</v>
      </c>
      <c r="Q37" s="51" t="s">
        <v>111</v>
      </c>
      <c r="R37" s="51" t="s">
        <v>111</v>
      </c>
      <c r="S37" s="51" t="s">
        <v>111</v>
      </c>
      <c r="T37" s="51">
        <v>31384.799999999999</v>
      </c>
      <c r="U37" s="51" t="s">
        <v>111</v>
      </c>
      <c r="V37" s="51">
        <f>SUM(P37:U37)</f>
        <v>31567.7</v>
      </c>
      <c r="W37" s="51">
        <f t="shared" si="6"/>
        <v>1136063.8999999999</v>
      </c>
      <c r="X37" s="51">
        <v>1379432.5</v>
      </c>
      <c r="Y37" s="51">
        <f t="shared" si="5"/>
        <v>243368.60000000009</v>
      </c>
      <c r="Z37" s="50" t="str">
        <f>'1.2'!F36</f>
        <v>372-ОЗ</v>
      </c>
      <c r="AA37" s="58">
        <f>'1.1'!H36</f>
        <v>44917</v>
      </c>
      <c r="AB37" s="233" t="s">
        <v>588</v>
      </c>
      <c r="AC37" s="233" t="s">
        <v>111</v>
      </c>
      <c r="AD37" s="107" t="s">
        <v>571</v>
      </c>
      <c r="AE37" s="198" t="s">
        <v>111</v>
      </c>
      <c r="AF37" s="175"/>
      <c r="AG37" s="175"/>
      <c r="AH37" s="175"/>
      <c r="AI37" s="175"/>
      <c r="AJ37" s="175"/>
    </row>
    <row r="38" spans="1:36" ht="15" customHeight="1">
      <c r="A38" s="120" t="s">
        <v>29</v>
      </c>
      <c r="B38" s="43"/>
      <c r="C38" s="43"/>
      <c r="D38" s="43"/>
      <c r="E38" s="43"/>
      <c r="F38" s="59"/>
      <c r="G38" s="59"/>
      <c r="H38" s="56"/>
      <c r="I38" s="56"/>
      <c r="J38" s="56"/>
      <c r="K38" s="56"/>
      <c r="L38" s="56"/>
      <c r="M38" s="56"/>
      <c r="N38" s="56"/>
      <c r="O38" s="56"/>
      <c r="P38" s="56"/>
      <c r="Q38" s="56"/>
      <c r="R38" s="56"/>
      <c r="S38" s="56"/>
      <c r="T38" s="56"/>
      <c r="U38" s="56"/>
      <c r="V38" s="56"/>
      <c r="W38" s="56"/>
      <c r="X38" s="56"/>
      <c r="Y38" s="56"/>
      <c r="Z38" s="239"/>
      <c r="AA38" s="59"/>
      <c r="AB38" s="45"/>
      <c r="AC38" s="45"/>
      <c r="AD38" s="120"/>
      <c r="AE38" s="198"/>
      <c r="AF38" s="175"/>
      <c r="AG38" s="175"/>
      <c r="AH38" s="175"/>
      <c r="AI38" s="175"/>
      <c r="AJ38" s="175"/>
    </row>
    <row r="39" spans="1:36" s="30" customFormat="1" ht="15" customHeight="1">
      <c r="A39" s="107" t="s">
        <v>30</v>
      </c>
      <c r="B39" s="46" t="s">
        <v>212</v>
      </c>
      <c r="C39" s="47">
        <f t="shared" si="3"/>
        <v>0</v>
      </c>
      <c r="D39" s="47"/>
      <c r="E39" s="48">
        <f t="shared" ref="E39:E45" si="11">C39*(1-D39)</f>
        <v>0</v>
      </c>
      <c r="F39" s="58" t="s">
        <v>249</v>
      </c>
      <c r="G39" s="52" t="s">
        <v>249</v>
      </c>
      <c r="H39" s="51" t="s">
        <v>111</v>
      </c>
      <c r="I39" s="51">
        <f>1157552+5000+10000</f>
        <v>1172552</v>
      </c>
      <c r="J39" s="51">
        <v>5820431.5999999996</v>
      </c>
      <c r="K39" s="189" t="s">
        <v>111</v>
      </c>
      <c r="L39" s="51">
        <v>289306.2</v>
      </c>
      <c r="M39" s="51">
        <f t="shared" si="7"/>
        <v>7282289.7999999998</v>
      </c>
      <c r="N39" s="51" t="s">
        <v>111</v>
      </c>
      <c r="O39" s="53" t="s">
        <v>111</v>
      </c>
      <c r="P39" s="51" t="s">
        <v>111</v>
      </c>
      <c r="Q39" s="51" t="s">
        <v>111</v>
      </c>
      <c r="R39" s="51" t="s">
        <v>111</v>
      </c>
      <c r="S39" s="189">
        <f>18556.6+23398.4+1500+23398.4</f>
        <v>66853.399999999994</v>
      </c>
      <c r="T39" s="51" t="s">
        <v>111</v>
      </c>
      <c r="U39" s="51" t="s">
        <v>111</v>
      </c>
      <c r="V39" s="51">
        <f t="shared" ref="V39:V99" si="12">SUM(P39:U39)</f>
        <v>66853.399999999994</v>
      </c>
      <c r="W39" s="163">
        <f t="shared" si="6"/>
        <v>7349143.2000000002</v>
      </c>
      <c r="X39" s="163">
        <v>12152288.5</v>
      </c>
      <c r="Y39" s="163">
        <f t="shared" ref="Y39:Y46" si="13">X39-W39</f>
        <v>4803145.3</v>
      </c>
      <c r="Z39" s="136">
        <f>'1.2'!F38</f>
        <v>140</v>
      </c>
      <c r="AA39" s="170">
        <f>'1.1'!H38</f>
        <v>44907</v>
      </c>
      <c r="AB39" s="234" t="s">
        <v>445</v>
      </c>
      <c r="AC39" s="234">
        <v>18</v>
      </c>
      <c r="AD39" s="107" t="s">
        <v>661</v>
      </c>
      <c r="AE39" s="198" t="s">
        <v>111</v>
      </c>
      <c r="AF39" s="184"/>
      <c r="AG39" s="177"/>
      <c r="AH39" s="177"/>
      <c r="AI39" s="177"/>
      <c r="AJ39" s="177"/>
    </row>
    <row r="40" spans="1:36" s="30" customFormat="1" ht="15" customHeight="1">
      <c r="A40" s="107" t="s">
        <v>31</v>
      </c>
      <c r="B40" s="107" t="s">
        <v>418</v>
      </c>
      <c r="C40" s="110">
        <f t="shared" si="3"/>
        <v>2</v>
      </c>
      <c r="D40" s="110"/>
      <c r="E40" s="182">
        <f t="shared" si="11"/>
        <v>2</v>
      </c>
      <c r="F40" s="170" t="s">
        <v>239</v>
      </c>
      <c r="G40" s="170" t="s">
        <v>121</v>
      </c>
      <c r="H40" s="163" t="s">
        <v>111</v>
      </c>
      <c r="I40" s="51" t="s">
        <v>111</v>
      </c>
      <c r="J40" s="51">
        <v>4491222.0999999996</v>
      </c>
      <c r="K40" s="51">
        <v>3487754.5</v>
      </c>
      <c r="L40" s="51">
        <v>548730.4</v>
      </c>
      <c r="M40" s="51">
        <f>SUM(I40:L40)</f>
        <v>8527707</v>
      </c>
      <c r="N40" s="51" t="s">
        <v>111</v>
      </c>
      <c r="O40" s="53" t="s">
        <v>251</v>
      </c>
      <c r="P40" s="51" t="s">
        <v>111</v>
      </c>
      <c r="Q40" s="51" t="s">
        <v>111</v>
      </c>
      <c r="R40" s="51" t="s">
        <v>111</v>
      </c>
      <c r="S40" s="51" t="s">
        <v>111</v>
      </c>
      <c r="T40" s="51" t="s">
        <v>111</v>
      </c>
      <c r="U40" s="51" t="s">
        <v>111</v>
      </c>
      <c r="V40" s="51">
        <f t="shared" si="12"/>
        <v>0</v>
      </c>
      <c r="W40" s="51">
        <f t="shared" si="6"/>
        <v>8527707</v>
      </c>
      <c r="X40" s="51">
        <v>8527706.9999999981</v>
      </c>
      <c r="Y40" s="51">
        <f t="shared" si="13"/>
        <v>0</v>
      </c>
      <c r="Z40" s="50" t="str">
        <f>'1.2'!F39</f>
        <v>263-VI-З</v>
      </c>
      <c r="AA40" s="58">
        <f>'1.1'!H39</f>
        <v>44910</v>
      </c>
      <c r="AB40" s="233" t="s">
        <v>221</v>
      </c>
      <c r="AC40" s="233">
        <v>10</v>
      </c>
      <c r="AD40" s="107" t="s">
        <v>603</v>
      </c>
      <c r="AE40" s="198" t="s">
        <v>111</v>
      </c>
      <c r="AF40" s="177"/>
      <c r="AG40" s="177"/>
      <c r="AH40" s="177"/>
      <c r="AI40" s="177"/>
      <c r="AJ40" s="177"/>
    </row>
    <row r="41" spans="1:36" s="30" customFormat="1" ht="15" customHeight="1">
      <c r="A41" s="107" t="s">
        <v>87</v>
      </c>
      <c r="B41" s="46" t="s">
        <v>418</v>
      </c>
      <c r="C41" s="47">
        <f t="shared" si="3"/>
        <v>2</v>
      </c>
      <c r="D41" s="47"/>
      <c r="E41" s="48">
        <f t="shared" si="11"/>
        <v>2</v>
      </c>
      <c r="F41" s="58" t="s">
        <v>239</v>
      </c>
      <c r="G41" s="58" t="s">
        <v>121</v>
      </c>
      <c r="H41" s="51" t="s">
        <v>111</v>
      </c>
      <c r="I41" s="51">
        <f>1553740474/1000</f>
        <v>1553740.4739999999</v>
      </c>
      <c r="J41" s="51">
        <f>10443654311.48/1000</f>
        <v>10443654.311479999</v>
      </c>
      <c r="K41" s="51">
        <f>27116427563.76/1000</f>
        <v>27116427.563759997</v>
      </c>
      <c r="L41" s="51">
        <f>89000000/1000</f>
        <v>89000</v>
      </c>
      <c r="M41" s="51">
        <f t="shared" si="7"/>
        <v>39202822.349239998</v>
      </c>
      <c r="N41" s="51" t="s">
        <v>111</v>
      </c>
      <c r="O41" s="53" t="s">
        <v>121</v>
      </c>
      <c r="P41" s="51">
        <f>3167400/1000</f>
        <v>3167.4</v>
      </c>
      <c r="Q41" s="51" t="s">
        <v>111</v>
      </c>
      <c r="R41" s="51" t="s">
        <v>111</v>
      </c>
      <c r="S41" s="51">
        <f>886009800/1000</f>
        <v>886009.8</v>
      </c>
      <c r="T41" s="51" t="s">
        <v>111</v>
      </c>
      <c r="U41" s="51" t="s">
        <v>111</v>
      </c>
      <c r="V41" s="51">
        <f t="shared" si="12"/>
        <v>889177.20000000007</v>
      </c>
      <c r="W41" s="51">
        <f t="shared" si="6"/>
        <v>40091999.549240001</v>
      </c>
      <c r="X41" s="51">
        <v>40091999.549240008</v>
      </c>
      <c r="Y41" s="51">
        <f t="shared" si="13"/>
        <v>0</v>
      </c>
      <c r="Z41" s="50" t="str">
        <f>'1.2'!F40</f>
        <v>355-ЗРК/2022</v>
      </c>
      <c r="AA41" s="58">
        <f>'1.1'!H40</f>
        <v>44910</v>
      </c>
      <c r="AB41" s="233" t="s">
        <v>217</v>
      </c>
      <c r="AC41" s="233" t="s">
        <v>446</v>
      </c>
      <c r="AD41" s="107" t="s">
        <v>111</v>
      </c>
      <c r="AE41" s="198" t="s">
        <v>111</v>
      </c>
      <c r="AF41" s="177"/>
      <c r="AG41" s="177"/>
      <c r="AH41" s="177"/>
      <c r="AI41" s="177"/>
      <c r="AJ41" s="177"/>
    </row>
    <row r="42" spans="1:36" s="33" customFormat="1" ht="15" customHeight="1">
      <c r="A42" s="107" t="s">
        <v>32</v>
      </c>
      <c r="B42" s="46" t="s">
        <v>418</v>
      </c>
      <c r="C42" s="47">
        <f t="shared" si="3"/>
        <v>2</v>
      </c>
      <c r="D42" s="47"/>
      <c r="E42" s="48">
        <f t="shared" si="11"/>
        <v>2</v>
      </c>
      <c r="F42" s="58" t="s">
        <v>239</v>
      </c>
      <c r="G42" s="58" t="s">
        <v>121</v>
      </c>
      <c r="H42" s="51">
        <v>165280156.59999999</v>
      </c>
      <c r="I42" s="51">
        <v>10242673.699999999</v>
      </c>
      <c r="J42" s="51">
        <v>85031907.700000003</v>
      </c>
      <c r="K42" s="51">
        <v>68044544.599999994</v>
      </c>
      <c r="L42" s="51">
        <v>1961030.6</v>
      </c>
      <c r="M42" s="51">
        <f>SUM(I42:L42)</f>
        <v>165280156.59999999</v>
      </c>
      <c r="N42" s="51">
        <f t="shared" si="1"/>
        <v>0</v>
      </c>
      <c r="O42" s="53" t="s">
        <v>121</v>
      </c>
      <c r="P42" s="51">
        <v>2652.5</v>
      </c>
      <c r="Q42" s="51" t="s">
        <v>111</v>
      </c>
      <c r="R42" s="51" t="s">
        <v>111</v>
      </c>
      <c r="S42" s="51">
        <v>11083548.300000001</v>
      </c>
      <c r="T42" s="51" t="s">
        <v>111</v>
      </c>
      <c r="U42" s="51">
        <v>2639</v>
      </c>
      <c r="V42" s="51">
        <f t="shared" si="12"/>
        <v>11088839.800000001</v>
      </c>
      <c r="W42" s="51">
        <f t="shared" si="6"/>
        <v>176368996.40000001</v>
      </c>
      <c r="X42" s="51">
        <v>176368996.39999995</v>
      </c>
      <c r="Y42" s="51">
        <f t="shared" si="13"/>
        <v>0</v>
      </c>
      <c r="Z42" s="50" t="str">
        <f>'1.2'!F41</f>
        <v>4825-КЗ</v>
      </c>
      <c r="AA42" s="58">
        <f>'1.1'!H41</f>
        <v>44918</v>
      </c>
      <c r="AB42" s="233" t="s">
        <v>216</v>
      </c>
      <c r="AC42" s="233" t="s">
        <v>217</v>
      </c>
      <c r="AD42" s="107" t="s">
        <v>111</v>
      </c>
      <c r="AE42" s="198"/>
      <c r="AF42" s="178"/>
      <c r="AG42" s="244"/>
      <c r="AH42" s="178"/>
      <c r="AI42" s="178"/>
      <c r="AJ42" s="178"/>
    </row>
    <row r="43" spans="1:36" s="7" customFormat="1" ht="15" customHeight="1">
      <c r="A43" s="107" t="s">
        <v>33</v>
      </c>
      <c r="B43" s="46" t="s">
        <v>419</v>
      </c>
      <c r="C43" s="47">
        <f t="shared" si="3"/>
        <v>1</v>
      </c>
      <c r="D43" s="47">
        <v>0.5</v>
      </c>
      <c r="E43" s="48">
        <f t="shared" si="11"/>
        <v>0.5</v>
      </c>
      <c r="F43" s="58" t="s">
        <v>232</v>
      </c>
      <c r="G43" s="58" t="s">
        <v>121</v>
      </c>
      <c r="H43" s="51" t="s">
        <v>111</v>
      </c>
      <c r="I43" s="51">
        <f>494683.5+99134</f>
        <v>593817.5</v>
      </c>
      <c r="J43" s="51">
        <f>5643324.2+146752.2+790.1+3759.7+2203.3+239.1+248.3</f>
        <v>5797316.8999999994</v>
      </c>
      <c r="K43" s="51">
        <f>10248630.7+27209.6</f>
        <v>10275840.299999999</v>
      </c>
      <c r="L43" s="51">
        <f>1295941.9+202862.7</f>
        <v>1498804.5999999999</v>
      </c>
      <c r="M43" s="51">
        <f t="shared" si="7"/>
        <v>18165779.300000001</v>
      </c>
      <c r="N43" s="51" t="s">
        <v>111</v>
      </c>
      <c r="O43" s="53" t="s">
        <v>249</v>
      </c>
      <c r="P43" s="51">
        <v>936.6</v>
      </c>
      <c r="Q43" s="51" t="s">
        <v>111</v>
      </c>
      <c r="R43" s="189">
        <v>4967693.2</v>
      </c>
      <c r="S43" s="51">
        <f>700960.3+883854.9</f>
        <v>1584815.2000000002</v>
      </c>
      <c r="T43" s="51" t="s">
        <v>111</v>
      </c>
      <c r="U43" s="51" t="s">
        <v>111</v>
      </c>
      <c r="V43" s="51">
        <f>SUM(P43:U43)</f>
        <v>6553445</v>
      </c>
      <c r="W43" s="51">
        <f>M43+V43</f>
        <v>24719224.300000001</v>
      </c>
      <c r="X43" s="51">
        <v>19761531.099999998</v>
      </c>
      <c r="Y43" s="51">
        <f t="shared" si="13"/>
        <v>-4957693.200000003</v>
      </c>
      <c r="Z43" s="50" t="str">
        <f>'1.2'!F42</f>
        <v>93/2022-ОЗ</v>
      </c>
      <c r="AA43" s="58">
        <f>'1.1'!H42</f>
        <v>44910</v>
      </c>
      <c r="AB43" s="233" t="s">
        <v>591</v>
      </c>
      <c r="AC43" s="233" t="s">
        <v>111</v>
      </c>
      <c r="AD43" s="107" t="s">
        <v>573</v>
      </c>
      <c r="AE43" s="198" t="s">
        <v>111</v>
      </c>
      <c r="AF43" s="176"/>
      <c r="AG43" s="176"/>
      <c r="AH43" s="176"/>
      <c r="AI43" s="176"/>
      <c r="AJ43" s="176"/>
    </row>
    <row r="44" spans="1:36" s="30" customFormat="1" ht="15" customHeight="1">
      <c r="A44" s="107" t="s">
        <v>34</v>
      </c>
      <c r="B44" s="46" t="s">
        <v>212</v>
      </c>
      <c r="C44" s="47">
        <f t="shared" si="3"/>
        <v>0</v>
      </c>
      <c r="D44" s="47"/>
      <c r="E44" s="48">
        <f t="shared" si="11"/>
        <v>0</v>
      </c>
      <c r="F44" s="58" t="s">
        <v>122</v>
      </c>
      <c r="G44" s="58" t="s">
        <v>122</v>
      </c>
      <c r="H44" s="51" t="s">
        <v>111</v>
      </c>
      <c r="I44" s="51" t="s">
        <v>111</v>
      </c>
      <c r="J44" s="51" t="s">
        <v>111</v>
      </c>
      <c r="K44" s="51" t="s">
        <v>111</v>
      </c>
      <c r="L44" s="51" t="s">
        <v>111</v>
      </c>
      <c r="M44" s="51">
        <f t="shared" si="7"/>
        <v>0</v>
      </c>
      <c r="N44" s="51" t="s">
        <v>111</v>
      </c>
      <c r="O44" s="53" t="s">
        <v>111</v>
      </c>
      <c r="P44" s="51">
        <v>2704.8</v>
      </c>
      <c r="Q44" s="51" t="s">
        <v>111</v>
      </c>
      <c r="R44" s="51" t="s">
        <v>111</v>
      </c>
      <c r="S44" s="51">
        <v>52933.4</v>
      </c>
      <c r="T44" s="51" t="s">
        <v>111</v>
      </c>
      <c r="U44" s="51" t="s">
        <v>111</v>
      </c>
      <c r="V44" s="51">
        <f>SUBTOTAL(9,P44:U44)</f>
        <v>55638.200000000004</v>
      </c>
      <c r="W44" s="51">
        <f t="shared" si="6"/>
        <v>55638.200000000004</v>
      </c>
      <c r="X44" s="51">
        <v>55674488.599999987</v>
      </c>
      <c r="Y44" s="51">
        <f>X44-W44</f>
        <v>55618850.399999984</v>
      </c>
      <c r="Z44" s="50" t="str">
        <f>'1.2'!F43</f>
        <v>122-ОД</v>
      </c>
      <c r="AA44" s="58">
        <f>'1.1'!H43</f>
        <v>44900</v>
      </c>
      <c r="AB44" s="233" t="s">
        <v>572</v>
      </c>
      <c r="AC44" s="233" t="s">
        <v>111</v>
      </c>
      <c r="AD44" s="107" t="s">
        <v>615</v>
      </c>
      <c r="AE44" s="198" t="s">
        <v>111</v>
      </c>
      <c r="AF44" s="177"/>
      <c r="AG44" s="177"/>
      <c r="AH44" s="177"/>
      <c r="AI44" s="177"/>
      <c r="AJ44" s="177"/>
    </row>
    <row r="45" spans="1:36" s="30" customFormat="1" ht="15" customHeight="1">
      <c r="A45" s="107" t="s">
        <v>35</v>
      </c>
      <c r="B45" s="46" t="s">
        <v>418</v>
      </c>
      <c r="C45" s="47">
        <f t="shared" si="3"/>
        <v>2</v>
      </c>
      <c r="D45" s="47"/>
      <c r="E45" s="48">
        <f t="shared" si="11"/>
        <v>2</v>
      </c>
      <c r="F45" s="58" t="s">
        <v>239</v>
      </c>
      <c r="G45" s="58" t="s">
        <v>121</v>
      </c>
      <c r="H45" s="51">
        <v>141959463.09999999</v>
      </c>
      <c r="I45" s="51">
        <v>13193866.4</v>
      </c>
      <c r="J45" s="51">
        <v>41191658.700000003</v>
      </c>
      <c r="K45" s="51">
        <v>81710763.299999997</v>
      </c>
      <c r="L45" s="51">
        <v>5863174.7000000002</v>
      </c>
      <c r="M45" s="51">
        <f>SUM(I45:L45)</f>
        <v>141959463.09999999</v>
      </c>
      <c r="N45" s="51">
        <f t="shared" si="1"/>
        <v>0</v>
      </c>
      <c r="O45" s="53" t="s">
        <v>121</v>
      </c>
      <c r="P45" s="51" t="s">
        <v>111</v>
      </c>
      <c r="Q45" s="51" t="s">
        <v>111</v>
      </c>
      <c r="R45" s="51" t="s">
        <v>111</v>
      </c>
      <c r="S45" s="51">
        <v>5812951.5999999996</v>
      </c>
      <c r="T45" s="51" t="s">
        <v>111</v>
      </c>
      <c r="U45" s="51" t="s">
        <v>111</v>
      </c>
      <c r="V45" s="51">
        <f t="shared" si="12"/>
        <v>5812951.5999999996</v>
      </c>
      <c r="W45" s="51">
        <f t="shared" si="6"/>
        <v>147772414.69999999</v>
      </c>
      <c r="X45" s="51">
        <v>147772414.70000005</v>
      </c>
      <c r="Y45" s="51">
        <f t="shared" si="13"/>
        <v>0</v>
      </c>
      <c r="Z45" s="50" t="str">
        <f>'1.2'!F44</f>
        <v>795-ЗС</v>
      </c>
      <c r="AA45" s="58">
        <f>'1.1'!H44</f>
        <v>44911</v>
      </c>
      <c r="AB45" s="233">
        <v>7</v>
      </c>
      <c r="AC45" s="233" t="s">
        <v>111</v>
      </c>
      <c r="AD45" s="107" t="s">
        <v>111</v>
      </c>
      <c r="AE45" s="198"/>
      <c r="AF45" s="177"/>
      <c r="AG45" s="177"/>
      <c r="AH45" s="177"/>
      <c r="AI45" s="177"/>
      <c r="AJ45" s="177"/>
    </row>
    <row r="46" spans="1:36" s="30" customFormat="1" ht="15" customHeight="1">
      <c r="A46" s="107" t="s">
        <v>222</v>
      </c>
      <c r="B46" s="46" t="s">
        <v>419</v>
      </c>
      <c r="C46" s="47">
        <f t="shared" si="3"/>
        <v>1</v>
      </c>
      <c r="D46" s="47"/>
      <c r="E46" s="48">
        <f>C46*(1-D46)</f>
        <v>1</v>
      </c>
      <c r="F46" s="58" t="s">
        <v>232</v>
      </c>
      <c r="G46" s="58" t="s">
        <v>121</v>
      </c>
      <c r="H46" s="51" t="s">
        <v>111</v>
      </c>
      <c r="I46" s="51">
        <f>112301.1</f>
        <v>112301.1</v>
      </c>
      <c r="J46" s="51" t="s">
        <v>111</v>
      </c>
      <c r="K46" s="51">
        <f>37949+1767.6</f>
        <v>39716.6</v>
      </c>
      <c r="L46" s="51" t="s">
        <v>111</v>
      </c>
      <c r="M46" s="51">
        <f t="shared" si="7"/>
        <v>152017.70000000001</v>
      </c>
      <c r="N46" s="51" t="s">
        <v>111</v>
      </c>
      <c r="O46" s="53" t="s">
        <v>249</v>
      </c>
      <c r="P46" s="51" t="s">
        <v>111</v>
      </c>
      <c r="Q46" s="51" t="s">
        <v>111</v>
      </c>
      <c r="R46" s="51" t="s">
        <v>111</v>
      </c>
      <c r="S46" s="51">
        <v>120308.7</v>
      </c>
      <c r="T46" s="189">
        <v>2303438.9</v>
      </c>
      <c r="U46" s="51" t="s">
        <v>111</v>
      </c>
      <c r="V46" s="51">
        <f t="shared" si="12"/>
        <v>2423747.6</v>
      </c>
      <c r="W46" s="51">
        <f t="shared" si="6"/>
        <v>2575765.3000000003</v>
      </c>
      <c r="X46" s="51">
        <v>276123.09999999998</v>
      </c>
      <c r="Y46" s="51">
        <f t="shared" si="13"/>
        <v>-2299642.2000000002</v>
      </c>
      <c r="Z46" s="50" t="str">
        <f>'1.2'!F45</f>
        <v>728-ЗС</v>
      </c>
      <c r="AA46" s="58">
        <f>'1.1'!H45</f>
        <v>44915</v>
      </c>
      <c r="AB46" s="233" t="s">
        <v>447</v>
      </c>
      <c r="AC46" s="233" t="s">
        <v>111</v>
      </c>
      <c r="AD46" s="107" t="s">
        <v>574</v>
      </c>
      <c r="AE46" s="213" t="s">
        <v>111</v>
      </c>
      <c r="AF46" s="177"/>
      <c r="AG46" s="177"/>
      <c r="AH46" s="177"/>
      <c r="AI46" s="177"/>
      <c r="AJ46" s="177"/>
    </row>
    <row r="47" spans="1:36" ht="15" customHeight="1">
      <c r="A47" s="120" t="s">
        <v>36</v>
      </c>
      <c r="B47" s="43"/>
      <c r="C47" s="43"/>
      <c r="D47" s="43"/>
      <c r="E47" s="43"/>
      <c r="F47" s="59"/>
      <c r="G47" s="59"/>
      <c r="H47" s="56"/>
      <c r="I47" s="56"/>
      <c r="J47" s="56"/>
      <c r="K47" s="56"/>
      <c r="L47" s="56"/>
      <c r="M47" s="56"/>
      <c r="N47" s="56"/>
      <c r="O47" s="56"/>
      <c r="P47" s="56"/>
      <c r="Q47" s="56"/>
      <c r="R47" s="56"/>
      <c r="S47" s="56"/>
      <c r="T47" s="56"/>
      <c r="U47" s="56"/>
      <c r="V47" s="56"/>
      <c r="W47" s="56"/>
      <c r="X47" s="56"/>
      <c r="Y47" s="56"/>
      <c r="Z47" s="239"/>
      <c r="AA47" s="59"/>
      <c r="AB47" s="45"/>
      <c r="AC47" s="45"/>
      <c r="AD47" s="120"/>
      <c r="AE47" s="198"/>
      <c r="AF47" s="183"/>
      <c r="AG47" s="175"/>
      <c r="AH47" s="175"/>
      <c r="AI47" s="175"/>
      <c r="AJ47" s="175"/>
    </row>
    <row r="48" spans="1:36" s="30" customFormat="1" ht="15" customHeight="1">
      <c r="A48" s="107" t="s">
        <v>37</v>
      </c>
      <c r="B48" s="46" t="s">
        <v>212</v>
      </c>
      <c r="C48" s="47">
        <f t="shared" si="3"/>
        <v>0</v>
      </c>
      <c r="D48" s="47"/>
      <c r="E48" s="48">
        <f t="shared" ref="E48:E54" si="14">C48*(1-D48)</f>
        <v>0</v>
      </c>
      <c r="F48" s="58" t="s">
        <v>122</v>
      </c>
      <c r="G48" s="58" t="s">
        <v>122</v>
      </c>
      <c r="H48" s="51" t="s">
        <v>111</v>
      </c>
      <c r="I48" s="51" t="s">
        <v>111</v>
      </c>
      <c r="J48" s="51">
        <v>16622894.232000001</v>
      </c>
      <c r="K48" s="51" t="s">
        <v>111</v>
      </c>
      <c r="L48" s="51" t="s">
        <v>111</v>
      </c>
      <c r="M48" s="51">
        <f t="shared" si="7"/>
        <v>16622894.232000001</v>
      </c>
      <c r="N48" s="51" t="s">
        <v>111</v>
      </c>
      <c r="O48" s="53" t="s">
        <v>122</v>
      </c>
      <c r="P48" s="51" t="s">
        <v>111</v>
      </c>
      <c r="Q48" s="51" t="s">
        <v>111</v>
      </c>
      <c r="R48" s="51" t="s">
        <v>111</v>
      </c>
      <c r="S48" s="51" t="s">
        <v>111</v>
      </c>
      <c r="T48" s="51" t="s">
        <v>111</v>
      </c>
      <c r="U48" s="51" t="s">
        <v>111</v>
      </c>
      <c r="V48" s="51">
        <v>0</v>
      </c>
      <c r="W48" s="51">
        <f t="shared" si="6"/>
        <v>16622894.232000001</v>
      </c>
      <c r="X48" s="51">
        <v>70288610.440000013</v>
      </c>
      <c r="Y48" s="51">
        <f t="shared" ref="Y48:Y49" si="15">X48-W48</f>
        <v>53665716.208000012</v>
      </c>
      <c r="Z48" s="50">
        <f>'1.2'!F47</f>
        <v>95</v>
      </c>
      <c r="AA48" s="58">
        <f>'1.1'!H47</f>
        <v>44907</v>
      </c>
      <c r="AB48" s="233">
        <v>8</v>
      </c>
      <c r="AC48" s="233">
        <v>19</v>
      </c>
      <c r="AD48" s="107" t="s">
        <v>597</v>
      </c>
      <c r="AE48" s="198" t="s">
        <v>111</v>
      </c>
      <c r="AF48" s="177"/>
      <c r="AG48" s="177"/>
      <c r="AH48" s="177"/>
      <c r="AI48" s="177"/>
      <c r="AJ48" s="177"/>
    </row>
    <row r="49" spans="1:37" ht="15" customHeight="1">
      <c r="A49" s="107" t="s">
        <v>38</v>
      </c>
      <c r="B49" s="46" t="s">
        <v>212</v>
      </c>
      <c r="C49" s="47">
        <f t="shared" si="3"/>
        <v>0</v>
      </c>
      <c r="D49" s="47"/>
      <c r="E49" s="48">
        <f t="shared" si="14"/>
        <v>0</v>
      </c>
      <c r="F49" s="58" t="s">
        <v>122</v>
      </c>
      <c r="G49" s="58" t="s">
        <v>122</v>
      </c>
      <c r="H49" s="51" t="s">
        <v>111</v>
      </c>
      <c r="I49" s="51">
        <f>831684.8+50000+20000</f>
        <v>901684.8</v>
      </c>
      <c r="J49" s="51">
        <f>13180.3+19434+5000+3460.9+18364.1</f>
        <v>59439.3</v>
      </c>
      <c r="K49" s="51" t="s">
        <v>111</v>
      </c>
      <c r="L49" s="51" t="s">
        <v>111</v>
      </c>
      <c r="M49" s="51">
        <f t="shared" si="7"/>
        <v>961124.10000000009</v>
      </c>
      <c r="N49" s="51" t="s">
        <v>111</v>
      </c>
      <c r="O49" s="53" t="s">
        <v>249</v>
      </c>
      <c r="P49" s="51" t="s">
        <v>111</v>
      </c>
      <c r="Q49" s="51" t="s">
        <v>111</v>
      </c>
      <c r="R49" s="189">
        <v>1359896.9</v>
      </c>
      <c r="S49" s="51" t="s">
        <v>111</v>
      </c>
      <c r="T49" s="51" t="s">
        <v>111</v>
      </c>
      <c r="U49" s="51" t="s">
        <v>111</v>
      </c>
      <c r="V49" s="51">
        <f t="shared" si="12"/>
        <v>1359896.9</v>
      </c>
      <c r="W49" s="51">
        <f t="shared" si="6"/>
        <v>2321021</v>
      </c>
      <c r="X49" s="51">
        <v>1503982.1</v>
      </c>
      <c r="Y49" s="51">
        <f t="shared" si="15"/>
        <v>-817038.89999999991</v>
      </c>
      <c r="Z49" s="50" t="str">
        <f>'1.2'!F48</f>
        <v>71-РЗ</v>
      </c>
      <c r="AA49" s="58">
        <f>'1.1'!H48</f>
        <v>44922</v>
      </c>
      <c r="AB49" s="233" t="s">
        <v>159</v>
      </c>
      <c r="AC49" s="233" t="s">
        <v>448</v>
      </c>
      <c r="AD49" s="107" t="s">
        <v>647</v>
      </c>
      <c r="AE49" s="198" t="s">
        <v>111</v>
      </c>
      <c r="AF49" s="175"/>
      <c r="AG49" s="175"/>
      <c r="AH49" s="175"/>
      <c r="AI49" s="175"/>
      <c r="AJ49" s="175"/>
    </row>
    <row r="50" spans="1:37" ht="14.5" customHeight="1">
      <c r="A50" s="107" t="s">
        <v>39</v>
      </c>
      <c r="B50" s="46" t="s">
        <v>418</v>
      </c>
      <c r="C50" s="47">
        <f t="shared" si="3"/>
        <v>2</v>
      </c>
      <c r="D50" s="47"/>
      <c r="E50" s="48">
        <f t="shared" si="14"/>
        <v>2</v>
      </c>
      <c r="F50" s="58" t="s">
        <v>239</v>
      </c>
      <c r="G50" s="58" t="s">
        <v>121</v>
      </c>
      <c r="H50" s="51" t="s">
        <v>111</v>
      </c>
      <c r="I50" s="51">
        <v>677599</v>
      </c>
      <c r="J50" s="51">
        <v>4300117.8</v>
      </c>
      <c r="K50" s="51">
        <v>10028153.6</v>
      </c>
      <c r="L50" s="51">
        <v>77596</v>
      </c>
      <c r="M50" s="51">
        <f t="shared" si="7"/>
        <v>15083466.399999999</v>
      </c>
      <c r="N50" s="51" t="s">
        <v>111</v>
      </c>
      <c r="O50" s="53" t="s">
        <v>121</v>
      </c>
      <c r="P50" s="51">
        <v>393.4</v>
      </c>
      <c r="Q50" s="51" t="s">
        <v>111</v>
      </c>
      <c r="R50" s="51" t="s">
        <v>111</v>
      </c>
      <c r="S50" s="51">
        <v>973215.9</v>
      </c>
      <c r="T50" s="51" t="s">
        <v>111</v>
      </c>
      <c r="U50" s="51" t="s">
        <v>111</v>
      </c>
      <c r="V50" s="51">
        <f t="shared" si="12"/>
        <v>973609.3</v>
      </c>
      <c r="W50" s="51">
        <f t="shared" si="6"/>
        <v>16057075.699999999</v>
      </c>
      <c r="X50" s="51">
        <v>16057075.800000001</v>
      </c>
      <c r="Y50" s="51">
        <f>X50-W50</f>
        <v>0.10000000149011612</v>
      </c>
      <c r="Z50" s="50" t="str">
        <f>'1.2'!F49</f>
        <v>63-РЗ</v>
      </c>
      <c r="AA50" s="58">
        <f>'1.1'!H49</f>
        <v>44924</v>
      </c>
      <c r="AB50" s="233">
        <v>7</v>
      </c>
      <c r="AC50" s="233" t="s">
        <v>215</v>
      </c>
      <c r="AD50" s="107" t="s">
        <v>111</v>
      </c>
      <c r="AE50" s="198" t="s">
        <v>111</v>
      </c>
      <c r="AF50" s="175"/>
      <c r="AG50" s="175"/>
      <c r="AH50" s="175"/>
      <c r="AI50" s="175"/>
      <c r="AJ50" s="175"/>
    </row>
    <row r="51" spans="1:37" ht="15" customHeight="1">
      <c r="A51" s="107" t="s">
        <v>40</v>
      </c>
      <c r="B51" s="46" t="s">
        <v>212</v>
      </c>
      <c r="C51" s="47">
        <f t="shared" si="3"/>
        <v>0</v>
      </c>
      <c r="D51" s="47"/>
      <c r="E51" s="48">
        <f t="shared" si="14"/>
        <v>0</v>
      </c>
      <c r="F51" s="58" t="s">
        <v>249</v>
      </c>
      <c r="G51" s="58" t="s">
        <v>249</v>
      </c>
      <c r="H51" s="189">
        <v>14117900.5</v>
      </c>
      <c r="I51" s="189">
        <f>1171761.1</f>
        <v>1171761.1000000001</v>
      </c>
      <c r="J51" s="189">
        <v>2722363.2</v>
      </c>
      <c r="K51" s="189">
        <v>9838455.5</v>
      </c>
      <c r="L51" s="189">
        <v>381762.8</v>
      </c>
      <c r="M51" s="51">
        <f t="shared" si="7"/>
        <v>14114342.600000001</v>
      </c>
      <c r="N51" s="51">
        <f t="shared" si="1"/>
        <v>3557.8999999985099</v>
      </c>
      <c r="O51" s="53" t="s">
        <v>122</v>
      </c>
      <c r="P51" s="51" t="s">
        <v>111</v>
      </c>
      <c r="Q51" s="51" t="s">
        <v>111</v>
      </c>
      <c r="R51" s="51" t="s">
        <v>111</v>
      </c>
      <c r="S51" s="51" t="s">
        <v>111</v>
      </c>
      <c r="T51" s="51" t="s">
        <v>111</v>
      </c>
      <c r="U51" s="51" t="s">
        <v>111</v>
      </c>
      <c r="V51" s="51">
        <f t="shared" si="12"/>
        <v>0</v>
      </c>
      <c r="W51" s="51">
        <f t="shared" si="6"/>
        <v>14114342.600000001</v>
      </c>
      <c r="X51" s="51">
        <v>14598788.099999994</v>
      </c>
      <c r="Y51" s="51">
        <f>X51-W51</f>
        <v>484445.49999999255</v>
      </c>
      <c r="Z51" s="50" t="str">
        <f>'1.2'!F50</f>
        <v>98-РЗ</v>
      </c>
      <c r="AA51" s="58">
        <f>'1.1'!H50</f>
        <v>44924</v>
      </c>
      <c r="AB51" s="233">
        <v>13</v>
      </c>
      <c r="AC51" s="233" t="s">
        <v>111</v>
      </c>
      <c r="AD51" s="107" t="s">
        <v>660</v>
      </c>
      <c r="AE51" s="198" t="s">
        <v>111</v>
      </c>
      <c r="AF51" s="175"/>
      <c r="AG51" s="175"/>
      <c r="AH51" s="175"/>
      <c r="AI51" s="175"/>
      <c r="AJ51" s="175"/>
    </row>
    <row r="52" spans="1:37" s="30" customFormat="1" ht="15" customHeight="1">
      <c r="A52" s="107" t="s">
        <v>547</v>
      </c>
      <c r="B52" s="46" t="s">
        <v>212</v>
      </c>
      <c r="C52" s="47">
        <f t="shared" si="3"/>
        <v>0</v>
      </c>
      <c r="D52" s="47"/>
      <c r="E52" s="48">
        <f t="shared" si="14"/>
        <v>0</v>
      </c>
      <c r="F52" s="58" t="s">
        <v>122</v>
      </c>
      <c r="G52" s="58" t="s">
        <v>122</v>
      </c>
      <c r="H52" s="51">
        <v>10715863.1</v>
      </c>
      <c r="I52" s="51" t="s">
        <v>111</v>
      </c>
      <c r="J52" s="51" t="s">
        <v>111</v>
      </c>
      <c r="K52" s="51" t="s">
        <v>111</v>
      </c>
      <c r="L52" s="51" t="s">
        <v>111</v>
      </c>
      <c r="M52" s="51">
        <f t="shared" si="7"/>
        <v>0</v>
      </c>
      <c r="N52" s="51">
        <f>H52-M52</f>
        <v>10715863.1</v>
      </c>
      <c r="O52" s="53" t="s">
        <v>122</v>
      </c>
      <c r="P52" s="51" t="s">
        <v>111</v>
      </c>
      <c r="Q52" s="51" t="s">
        <v>111</v>
      </c>
      <c r="R52" s="51" t="s">
        <v>111</v>
      </c>
      <c r="S52" s="51" t="s">
        <v>111</v>
      </c>
      <c r="T52" s="51" t="s">
        <v>111</v>
      </c>
      <c r="U52" s="51" t="s">
        <v>111</v>
      </c>
      <c r="V52" s="51">
        <v>0</v>
      </c>
      <c r="W52" s="51">
        <f t="shared" si="6"/>
        <v>0</v>
      </c>
      <c r="X52" s="51">
        <v>8668010.5999999996</v>
      </c>
      <c r="Y52" s="51">
        <f>X52-W52</f>
        <v>8668010.5999999996</v>
      </c>
      <c r="Z52" s="50" t="str">
        <f>'1.2'!F51</f>
        <v>88-РЗ</v>
      </c>
      <c r="AA52" s="58">
        <f>'1.1'!H51</f>
        <v>44921</v>
      </c>
      <c r="AB52" s="233">
        <v>7</v>
      </c>
      <c r="AC52" s="233" t="s">
        <v>111</v>
      </c>
      <c r="AD52" s="107" t="s">
        <v>616</v>
      </c>
      <c r="AE52" s="198" t="s">
        <v>111</v>
      </c>
      <c r="AF52" s="177"/>
      <c r="AG52" s="177"/>
      <c r="AH52" s="177"/>
      <c r="AI52" s="177"/>
      <c r="AJ52" s="177"/>
    </row>
    <row r="53" spans="1:37" ht="15" customHeight="1">
      <c r="A53" s="107" t="s">
        <v>41</v>
      </c>
      <c r="B53" s="46" t="s">
        <v>212</v>
      </c>
      <c r="C53" s="47">
        <f t="shared" si="3"/>
        <v>0</v>
      </c>
      <c r="D53" s="47"/>
      <c r="E53" s="48">
        <f t="shared" si="14"/>
        <v>0</v>
      </c>
      <c r="F53" s="58" t="s">
        <v>249</v>
      </c>
      <c r="G53" s="58" t="s">
        <v>249</v>
      </c>
      <c r="H53" s="189">
        <v>38524014.5</v>
      </c>
      <c r="I53" s="189">
        <v>3643991.3</v>
      </c>
      <c r="J53" s="189">
        <v>3453755.3</v>
      </c>
      <c r="K53" s="189">
        <v>31043267.899999999</v>
      </c>
      <c r="L53" s="189">
        <v>383000</v>
      </c>
      <c r="M53" s="51">
        <f t="shared" si="7"/>
        <v>38524014.5</v>
      </c>
      <c r="N53" s="51">
        <f t="shared" si="1"/>
        <v>0</v>
      </c>
      <c r="O53" s="53" t="s">
        <v>111</v>
      </c>
      <c r="P53" s="189">
        <v>1131.9000000000001</v>
      </c>
      <c r="Q53" s="51" t="s">
        <v>111</v>
      </c>
      <c r="R53" s="51" t="s">
        <v>111</v>
      </c>
      <c r="S53" s="189">
        <f>2688110.7+15000</f>
        <v>2703110.7</v>
      </c>
      <c r="T53" s="51" t="s">
        <v>111</v>
      </c>
      <c r="U53" s="51" t="s">
        <v>111</v>
      </c>
      <c r="V53" s="51">
        <f t="shared" si="12"/>
        <v>2704242.6</v>
      </c>
      <c r="W53" s="51">
        <f t="shared" si="6"/>
        <v>41228257.100000001</v>
      </c>
      <c r="X53" s="51">
        <v>41227125.399999991</v>
      </c>
      <c r="Y53" s="51">
        <f>X53-W53</f>
        <v>-1131.7000000104308</v>
      </c>
      <c r="Z53" s="50" t="str">
        <f>'1.2'!F52</f>
        <v>75-РЗ</v>
      </c>
      <c r="AA53" s="58">
        <f>'1.1'!H52</f>
        <v>44922</v>
      </c>
      <c r="AB53" s="233">
        <v>7</v>
      </c>
      <c r="AC53" s="233" t="s">
        <v>111</v>
      </c>
      <c r="AD53" s="107" t="s">
        <v>632</v>
      </c>
      <c r="AE53" s="198" t="s">
        <v>111</v>
      </c>
      <c r="AF53" s="175"/>
      <c r="AG53" s="175"/>
      <c r="AH53" s="175"/>
      <c r="AI53" s="175"/>
      <c r="AJ53" s="175"/>
    </row>
    <row r="54" spans="1:37" ht="15" customHeight="1">
      <c r="A54" s="107" t="s">
        <v>42</v>
      </c>
      <c r="B54" s="46" t="s">
        <v>418</v>
      </c>
      <c r="C54" s="47">
        <f t="shared" si="3"/>
        <v>2</v>
      </c>
      <c r="D54" s="47"/>
      <c r="E54" s="48">
        <f t="shared" si="14"/>
        <v>2</v>
      </c>
      <c r="F54" s="58" t="s">
        <v>239</v>
      </c>
      <c r="G54" s="58" t="s">
        <v>121</v>
      </c>
      <c r="H54" s="51">
        <v>71907903.650000006</v>
      </c>
      <c r="I54" s="51">
        <v>11279038.77</v>
      </c>
      <c r="J54" s="51">
        <v>18480536.52</v>
      </c>
      <c r="K54" s="51">
        <v>41532457.960000001</v>
      </c>
      <c r="L54" s="51">
        <v>615870.4</v>
      </c>
      <c r="M54" s="51">
        <f t="shared" si="7"/>
        <v>71907903.650000006</v>
      </c>
      <c r="N54" s="51">
        <f t="shared" si="1"/>
        <v>0</v>
      </c>
      <c r="O54" s="53" t="s">
        <v>121</v>
      </c>
      <c r="P54" s="51">
        <v>4639.1000000000004</v>
      </c>
      <c r="Q54" s="51" t="s">
        <v>111</v>
      </c>
      <c r="R54" s="51" t="s">
        <v>111</v>
      </c>
      <c r="S54" s="51">
        <f>1223937.7+14965.53</f>
        <v>1238903.23</v>
      </c>
      <c r="T54" s="51">
        <v>33304.25</v>
      </c>
      <c r="U54" s="51" t="s">
        <v>111</v>
      </c>
      <c r="V54" s="51">
        <f t="shared" si="12"/>
        <v>1276846.58</v>
      </c>
      <c r="W54" s="51">
        <f t="shared" si="6"/>
        <v>73184750.230000004</v>
      </c>
      <c r="X54" s="51">
        <v>73184750.229999974</v>
      </c>
      <c r="Y54" s="51">
        <f>X54-W54</f>
        <v>0</v>
      </c>
      <c r="Z54" s="50" t="str">
        <f>'1.2'!F53</f>
        <v>110-кз</v>
      </c>
      <c r="AA54" s="58">
        <f>'1.1'!H53</f>
        <v>44904</v>
      </c>
      <c r="AB54" s="233">
        <v>7</v>
      </c>
      <c r="AC54" s="233" t="s">
        <v>293</v>
      </c>
      <c r="AD54" s="107" t="s">
        <v>111</v>
      </c>
      <c r="AE54" s="198"/>
      <c r="AF54" s="175"/>
      <c r="AG54" s="175"/>
      <c r="AH54" s="175"/>
      <c r="AI54" s="175"/>
      <c r="AJ54" s="175"/>
    </row>
    <row r="55" spans="1:37" ht="15" customHeight="1">
      <c r="A55" s="120" t="s">
        <v>43</v>
      </c>
      <c r="B55" s="43"/>
      <c r="C55" s="43"/>
      <c r="D55" s="43"/>
      <c r="E55" s="43"/>
      <c r="F55" s="59"/>
      <c r="G55" s="59"/>
      <c r="H55" s="56"/>
      <c r="I55" s="56"/>
      <c r="J55" s="56"/>
      <c r="K55" s="56"/>
      <c r="L55" s="56"/>
      <c r="M55" s="56"/>
      <c r="N55" s="56"/>
      <c r="O55" s="56"/>
      <c r="P55" s="56"/>
      <c r="Q55" s="56"/>
      <c r="R55" s="56"/>
      <c r="S55" s="56"/>
      <c r="T55" s="56"/>
      <c r="U55" s="56"/>
      <c r="V55" s="56"/>
      <c r="W55" s="56"/>
      <c r="X55" s="56"/>
      <c r="Y55" s="56"/>
      <c r="Z55" s="239"/>
      <c r="AA55" s="59"/>
      <c r="AB55" s="45"/>
      <c r="AC55" s="45"/>
      <c r="AD55" s="120"/>
      <c r="AE55" s="198"/>
      <c r="AF55" s="175"/>
      <c r="AG55" s="175"/>
      <c r="AH55" s="175"/>
      <c r="AI55" s="175"/>
      <c r="AJ55" s="175"/>
    </row>
    <row r="56" spans="1:37" s="30" customFormat="1" ht="15" customHeight="1">
      <c r="A56" s="107" t="s">
        <v>44</v>
      </c>
      <c r="B56" s="46" t="s">
        <v>418</v>
      </c>
      <c r="C56" s="47">
        <f t="shared" si="3"/>
        <v>2</v>
      </c>
      <c r="D56" s="47"/>
      <c r="E56" s="48">
        <f t="shared" ref="E56:E69" si="16">C56*(1-D56)</f>
        <v>2</v>
      </c>
      <c r="F56" s="58" t="s">
        <v>239</v>
      </c>
      <c r="G56" s="58" t="s">
        <v>121</v>
      </c>
      <c r="H56" s="51">
        <f>100474204935.86/1000</f>
        <v>100474204.93586001</v>
      </c>
      <c r="I56" s="51">
        <f>9444778354.8/1000</f>
        <v>9444778.3547999989</v>
      </c>
      <c r="J56" s="51">
        <f>36406678701.16/1000</f>
        <v>36406678.701160006</v>
      </c>
      <c r="K56" s="51">
        <f>48334637601.93/1000</f>
        <v>48334637.60193</v>
      </c>
      <c r="L56" s="51">
        <f>6288110277.97/1000</f>
        <v>6288110.2779700002</v>
      </c>
      <c r="M56" s="51">
        <f t="shared" si="7"/>
        <v>100474204.93586001</v>
      </c>
      <c r="N56" s="51">
        <f t="shared" si="1"/>
        <v>0</v>
      </c>
      <c r="O56" s="53" t="s">
        <v>121</v>
      </c>
      <c r="P56" s="51">
        <f>6375600/1000</f>
        <v>6375.6</v>
      </c>
      <c r="Q56" s="51" t="s">
        <v>111</v>
      </c>
      <c r="R56" s="51" t="s">
        <v>111</v>
      </c>
      <c r="S56" s="51">
        <f>(49178300+2217173600+2795678600)/1000</f>
        <v>5062030.5</v>
      </c>
      <c r="T56" s="51">
        <f>4568674554/1000</f>
        <v>4568674.5539999995</v>
      </c>
      <c r="U56" s="51" t="s">
        <v>111</v>
      </c>
      <c r="V56" s="51">
        <f t="shared" si="12"/>
        <v>9637080.6539999992</v>
      </c>
      <c r="W56" s="51">
        <f t="shared" si="6"/>
        <v>110111285.58986001</v>
      </c>
      <c r="X56" s="51">
        <v>110111285.58986001</v>
      </c>
      <c r="Y56" s="51">
        <f>X56-W56</f>
        <v>0</v>
      </c>
      <c r="Z56" s="50" t="str">
        <f>'1.2'!F55</f>
        <v>651-з</v>
      </c>
      <c r="AA56" s="58">
        <f>'1.1'!H55</f>
        <v>44914</v>
      </c>
      <c r="AB56" s="233" t="s">
        <v>577</v>
      </c>
      <c r="AC56" s="233" t="s">
        <v>293</v>
      </c>
      <c r="AD56" s="107" t="s">
        <v>111</v>
      </c>
      <c r="AE56" s="198"/>
      <c r="AF56" s="175"/>
      <c r="AG56" s="176"/>
      <c r="AH56" s="175"/>
      <c r="AI56" s="175"/>
      <c r="AJ56" s="175"/>
      <c r="AK56"/>
    </row>
    <row r="57" spans="1:37" ht="15" customHeight="1">
      <c r="A57" s="107" t="s">
        <v>548</v>
      </c>
      <c r="B57" s="46" t="s">
        <v>419</v>
      </c>
      <c r="C57" s="47">
        <f t="shared" si="3"/>
        <v>1</v>
      </c>
      <c r="D57" s="47"/>
      <c r="E57" s="48">
        <f t="shared" si="16"/>
        <v>1</v>
      </c>
      <c r="F57" s="58" t="s">
        <v>232</v>
      </c>
      <c r="G57" s="58" t="s">
        <v>121</v>
      </c>
      <c r="H57" s="51">
        <v>14871691.6</v>
      </c>
      <c r="I57" s="51">
        <v>1440664.3</v>
      </c>
      <c r="J57" s="51">
        <v>4873120.0999999996</v>
      </c>
      <c r="K57" s="51">
        <v>8025166.7999999998</v>
      </c>
      <c r="L57" s="51">
        <v>532740.4</v>
      </c>
      <c r="M57" s="51">
        <f t="shared" si="7"/>
        <v>14871691.6</v>
      </c>
      <c r="N57" s="51">
        <f t="shared" si="1"/>
        <v>0</v>
      </c>
      <c r="O57" s="53" t="s">
        <v>249</v>
      </c>
      <c r="P57" s="51" t="s">
        <v>111</v>
      </c>
      <c r="Q57" s="51" t="s">
        <v>111</v>
      </c>
      <c r="R57" s="51" t="s">
        <v>111</v>
      </c>
      <c r="S57" s="51">
        <v>54306.5</v>
      </c>
      <c r="T57" s="189">
        <v>3264731.7</v>
      </c>
      <c r="U57" s="51" t="s">
        <v>111</v>
      </c>
      <c r="V57" s="51">
        <f t="shared" si="12"/>
        <v>3319038.2</v>
      </c>
      <c r="W57" s="51">
        <f t="shared" si="6"/>
        <v>18190729.800000001</v>
      </c>
      <c r="X57" s="51">
        <v>14953897.999999994</v>
      </c>
      <c r="Y57" s="51">
        <f>X57-W57</f>
        <v>-3236831.8000000063</v>
      </c>
      <c r="Z57" s="50" t="str">
        <f>'1.2'!F56</f>
        <v xml:space="preserve">46-З </v>
      </c>
      <c r="AA57" s="58">
        <f>'1.1'!H56</f>
        <v>44900</v>
      </c>
      <c r="AB57" s="233">
        <v>13</v>
      </c>
      <c r="AC57" s="233">
        <v>10</v>
      </c>
      <c r="AD57" s="107" t="s">
        <v>578</v>
      </c>
      <c r="AE57" s="198" t="s">
        <v>111</v>
      </c>
      <c r="AF57" s="175"/>
      <c r="AG57" s="183"/>
      <c r="AH57" s="175"/>
      <c r="AI57" s="175"/>
      <c r="AJ57" s="175"/>
    </row>
    <row r="58" spans="1:37" s="30" customFormat="1" ht="15" customHeight="1">
      <c r="A58" s="107" t="s">
        <v>45</v>
      </c>
      <c r="B58" s="46" t="s">
        <v>212</v>
      </c>
      <c r="C58" s="47">
        <f t="shared" si="3"/>
        <v>0</v>
      </c>
      <c r="D58" s="47"/>
      <c r="E58" s="48">
        <f t="shared" si="16"/>
        <v>0</v>
      </c>
      <c r="F58" s="58" t="s">
        <v>122</v>
      </c>
      <c r="G58" s="58" t="s">
        <v>122</v>
      </c>
      <c r="H58" s="51" t="s">
        <v>111</v>
      </c>
      <c r="I58" s="51">
        <f>93560.9+1030004.5</f>
        <v>1123565.3999999999</v>
      </c>
      <c r="J58" s="51">
        <v>6993573.0999999996</v>
      </c>
      <c r="K58" s="51" t="s">
        <v>111</v>
      </c>
      <c r="L58" s="51" t="s">
        <v>111</v>
      </c>
      <c r="M58" s="51">
        <f t="shared" si="7"/>
        <v>8117138.5</v>
      </c>
      <c r="N58" s="51" t="s">
        <v>111</v>
      </c>
      <c r="O58" s="53" t="s">
        <v>111</v>
      </c>
      <c r="P58" s="51">
        <v>1892.2</v>
      </c>
      <c r="Q58" s="51" t="s">
        <v>111</v>
      </c>
      <c r="R58" s="51" t="s">
        <v>111</v>
      </c>
      <c r="S58" s="51" t="s">
        <v>111</v>
      </c>
      <c r="T58" s="51" t="s">
        <v>111</v>
      </c>
      <c r="U58" s="51" t="s">
        <v>111</v>
      </c>
      <c r="V58" s="51">
        <f t="shared" si="12"/>
        <v>1892.2</v>
      </c>
      <c r="W58" s="51">
        <f t="shared" si="6"/>
        <v>8119030.7000000002</v>
      </c>
      <c r="X58" s="51">
        <v>18435424.599999998</v>
      </c>
      <c r="Y58" s="51">
        <f>X58-W58</f>
        <v>10316393.899999999</v>
      </c>
      <c r="Z58" s="50" t="str">
        <f>'1.2'!F57</f>
        <v>90-З</v>
      </c>
      <c r="AA58" s="58">
        <f>'1.1'!H57</f>
        <v>44923</v>
      </c>
      <c r="AB58" s="233" t="s">
        <v>219</v>
      </c>
      <c r="AC58" s="233">
        <v>8</v>
      </c>
      <c r="AD58" s="107" t="s">
        <v>579</v>
      </c>
      <c r="AE58" s="198" t="s">
        <v>111</v>
      </c>
      <c r="AF58" s="175"/>
      <c r="AG58" s="176"/>
      <c r="AH58" s="175"/>
      <c r="AI58" s="175"/>
      <c r="AJ58" s="175"/>
      <c r="AK58"/>
    </row>
    <row r="59" spans="1:37" s="30" customFormat="1" ht="15" customHeight="1">
      <c r="A59" s="107" t="s">
        <v>46</v>
      </c>
      <c r="B59" s="46" t="s">
        <v>212</v>
      </c>
      <c r="C59" s="47">
        <f t="shared" si="3"/>
        <v>0</v>
      </c>
      <c r="D59" s="47"/>
      <c r="E59" s="48">
        <f t="shared" si="16"/>
        <v>0</v>
      </c>
      <c r="F59" s="58" t="s">
        <v>122</v>
      </c>
      <c r="G59" s="58" t="s">
        <v>122</v>
      </c>
      <c r="H59" s="51" t="s">
        <v>111</v>
      </c>
      <c r="I59" s="51">
        <f>18280653.2-17518985.6</f>
        <v>761667.59999999776</v>
      </c>
      <c r="J59" s="51" t="s">
        <v>111</v>
      </c>
      <c r="K59" s="51" t="s">
        <v>111</v>
      </c>
      <c r="L59" s="51" t="s">
        <v>111</v>
      </c>
      <c r="M59" s="51">
        <f t="shared" si="7"/>
        <v>761667.59999999776</v>
      </c>
      <c r="N59" s="51" t="s">
        <v>111</v>
      </c>
      <c r="O59" s="53" t="s">
        <v>111</v>
      </c>
      <c r="P59" s="51" t="s">
        <v>111</v>
      </c>
      <c r="Q59" s="51" t="s">
        <v>111</v>
      </c>
      <c r="R59" s="51" t="s">
        <v>111</v>
      </c>
      <c r="S59" s="51" t="s">
        <v>111</v>
      </c>
      <c r="T59" s="51">
        <v>9384576.1999999993</v>
      </c>
      <c r="U59" s="51" t="s">
        <v>111</v>
      </c>
      <c r="V59" s="51">
        <f t="shared" si="12"/>
        <v>9384576.1999999993</v>
      </c>
      <c r="W59" s="51">
        <f t="shared" si="6"/>
        <v>10146243.799999997</v>
      </c>
      <c r="X59" s="51">
        <v>68147838.000000015</v>
      </c>
      <c r="Y59" s="51">
        <f>X59-W59</f>
        <v>58001594.200000018</v>
      </c>
      <c r="Z59" s="50" t="str">
        <f>'1.2'!F58</f>
        <v>82-ЗРТ</v>
      </c>
      <c r="AA59" s="58">
        <f>'1.1'!H58</f>
        <v>44888</v>
      </c>
      <c r="AB59" s="233" t="s">
        <v>580</v>
      </c>
      <c r="AC59" s="233" t="s">
        <v>449</v>
      </c>
      <c r="AD59" s="107" t="s">
        <v>579</v>
      </c>
      <c r="AE59" s="198" t="s">
        <v>111</v>
      </c>
      <c r="AF59" s="175"/>
      <c r="AG59" s="176"/>
      <c r="AH59" s="175"/>
      <c r="AI59" s="175"/>
      <c r="AJ59" s="175"/>
      <c r="AK59"/>
    </row>
    <row r="60" spans="1:37" ht="15" customHeight="1">
      <c r="A60" s="107" t="s">
        <v>47</v>
      </c>
      <c r="B60" s="46" t="s">
        <v>212</v>
      </c>
      <c r="C60" s="47">
        <f t="shared" si="3"/>
        <v>0</v>
      </c>
      <c r="D60" s="47"/>
      <c r="E60" s="48">
        <f t="shared" si="16"/>
        <v>0</v>
      </c>
      <c r="F60" s="58" t="s">
        <v>122</v>
      </c>
      <c r="G60" s="58" t="s">
        <v>122</v>
      </c>
      <c r="H60" s="51" t="s">
        <v>111</v>
      </c>
      <c r="I60" s="51">
        <f>(3203154000+83565100+14000000)/1000</f>
        <v>3300719.1</v>
      </c>
      <c r="J60" s="51" t="s">
        <v>111</v>
      </c>
      <c r="K60" s="51" t="s">
        <v>111</v>
      </c>
      <c r="L60" s="51" t="s">
        <v>111</v>
      </c>
      <c r="M60" s="51">
        <f t="shared" si="7"/>
        <v>3300719.1</v>
      </c>
      <c r="N60" s="51" t="s">
        <v>111</v>
      </c>
      <c r="O60" s="53" t="s">
        <v>122</v>
      </c>
      <c r="P60" s="51" t="s">
        <v>111</v>
      </c>
      <c r="Q60" s="51" t="s">
        <v>111</v>
      </c>
      <c r="R60" s="51" t="s">
        <v>111</v>
      </c>
      <c r="S60" s="51" t="s">
        <v>111</v>
      </c>
      <c r="T60" s="51" t="s">
        <v>111</v>
      </c>
      <c r="U60" s="51" t="s">
        <v>111</v>
      </c>
      <c r="V60" s="51">
        <v>0</v>
      </c>
      <c r="W60" s="51">
        <f t="shared" si="6"/>
        <v>3300719.1</v>
      </c>
      <c r="X60" s="51">
        <v>33504361.099999998</v>
      </c>
      <c r="Y60" s="51">
        <f>X60-W60</f>
        <v>30203641.999999996</v>
      </c>
      <c r="Z60" s="50" t="str">
        <f>'1.2'!F59</f>
        <v>83-РЗ</v>
      </c>
      <c r="AA60" s="58">
        <f>'1.1'!H59</f>
        <v>44921</v>
      </c>
      <c r="AB60" s="233" t="s">
        <v>581</v>
      </c>
      <c r="AC60" s="233" t="s">
        <v>111</v>
      </c>
      <c r="AD60" s="107" t="s">
        <v>579</v>
      </c>
      <c r="AE60" s="198" t="s">
        <v>111</v>
      </c>
      <c r="AF60" s="175"/>
      <c r="AG60" s="176"/>
      <c r="AH60" s="175"/>
      <c r="AI60" s="175"/>
      <c r="AJ60" s="175"/>
    </row>
    <row r="61" spans="1:37" ht="15" customHeight="1">
      <c r="A61" s="107" t="s">
        <v>549</v>
      </c>
      <c r="B61" s="46" t="s">
        <v>418</v>
      </c>
      <c r="C61" s="47">
        <f t="shared" si="3"/>
        <v>2</v>
      </c>
      <c r="D61" s="47"/>
      <c r="E61" s="48">
        <f t="shared" si="16"/>
        <v>2</v>
      </c>
      <c r="F61" s="58" t="s">
        <v>239</v>
      </c>
      <c r="G61" s="58" t="s">
        <v>121</v>
      </c>
      <c r="H61" s="51">
        <v>23616873.899999999</v>
      </c>
      <c r="I61" s="51">
        <v>2112922</v>
      </c>
      <c r="J61" s="51">
        <v>5806333.4000000004</v>
      </c>
      <c r="K61" s="51">
        <v>14897390.6</v>
      </c>
      <c r="L61" s="51">
        <v>800227.9</v>
      </c>
      <c r="M61" s="51">
        <f t="shared" si="7"/>
        <v>23616873.899999999</v>
      </c>
      <c r="N61" s="51">
        <f t="shared" si="1"/>
        <v>0</v>
      </c>
      <c r="O61" s="53" t="s">
        <v>121</v>
      </c>
      <c r="P61" s="51">
        <v>2978.1</v>
      </c>
      <c r="Q61" s="51" t="s">
        <v>111</v>
      </c>
      <c r="R61" s="51" t="s">
        <v>111</v>
      </c>
      <c r="S61" s="51">
        <v>162061.5</v>
      </c>
      <c r="T61" s="51" t="s">
        <v>111</v>
      </c>
      <c r="U61" s="51" t="s">
        <v>111</v>
      </c>
      <c r="V61" s="51">
        <f t="shared" si="12"/>
        <v>165039.6</v>
      </c>
      <c r="W61" s="51">
        <f t="shared" si="6"/>
        <v>23781913.5</v>
      </c>
      <c r="X61" s="51">
        <v>23781913.5</v>
      </c>
      <c r="Y61" s="51">
        <f t="shared" ref="Y61:Y65" si="17">X61-W61</f>
        <v>0</v>
      </c>
      <c r="Z61" s="50">
        <f>'1.2'!F60</f>
        <v>110</v>
      </c>
      <c r="AA61" s="58">
        <f>'1.1'!H60</f>
        <v>44894</v>
      </c>
      <c r="AB61" s="233" t="s">
        <v>592</v>
      </c>
      <c r="AC61" s="233" t="s">
        <v>111</v>
      </c>
      <c r="AD61" s="107" t="s">
        <v>111</v>
      </c>
      <c r="AE61" s="198" t="s">
        <v>111</v>
      </c>
      <c r="AF61" s="175"/>
      <c r="AG61" s="175"/>
      <c r="AH61" s="175"/>
      <c r="AI61" s="175"/>
      <c r="AJ61" s="175"/>
    </row>
    <row r="62" spans="1:37" s="30" customFormat="1" ht="15" customHeight="1">
      <c r="A62" s="107" t="s">
        <v>48</v>
      </c>
      <c r="B62" s="46" t="s">
        <v>212</v>
      </c>
      <c r="C62" s="47">
        <f t="shared" si="3"/>
        <v>0</v>
      </c>
      <c r="D62" s="47"/>
      <c r="E62" s="48">
        <f t="shared" si="16"/>
        <v>0</v>
      </c>
      <c r="F62" s="58" t="s">
        <v>249</v>
      </c>
      <c r="G62" s="58" t="s">
        <v>249</v>
      </c>
      <c r="H62" s="51" t="s">
        <v>111</v>
      </c>
      <c r="I62" s="189">
        <f>11678403.9+596847.8</f>
        <v>12275251.700000001</v>
      </c>
      <c r="J62" s="51">
        <v>17747765.899999999</v>
      </c>
      <c r="K62" s="51">
        <v>33317820.300000001</v>
      </c>
      <c r="L62" s="51">
        <v>11420209.300000001</v>
      </c>
      <c r="M62" s="51">
        <f t="shared" si="7"/>
        <v>74761047.200000003</v>
      </c>
      <c r="N62" s="51" t="s">
        <v>111</v>
      </c>
      <c r="O62" s="53" t="s">
        <v>111</v>
      </c>
      <c r="P62" s="51">
        <v>5175.3</v>
      </c>
      <c r="Q62" s="51" t="s">
        <v>111</v>
      </c>
      <c r="R62" s="51" t="s">
        <v>111</v>
      </c>
      <c r="S62" s="51">
        <v>5569289.2999999998</v>
      </c>
      <c r="T62" s="51">
        <v>3711067</v>
      </c>
      <c r="U62" s="51" t="s">
        <v>111</v>
      </c>
      <c r="V62" s="51">
        <f>SUM(P62:U62)</f>
        <v>9285531.5999999996</v>
      </c>
      <c r="W62" s="51">
        <f t="shared" si="6"/>
        <v>84046578.799999997</v>
      </c>
      <c r="X62" s="51">
        <v>84096127.700000003</v>
      </c>
      <c r="Y62" s="51">
        <f t="shared" si="17"/>
        <v>49548.90000000596</v>
      </c>
      <c r="Z62" s="50" t="str">
        <f>'1.2'!F61</f>
        <v>131-ПК</v>
      </c>
      <c r="AA62" s="58">
        <f>'1.1'!H61</f>
        <v>44895</v>
      </c>
      <c r="AB62" s="233">
        <v>5</v>
      </c>
      <c r="AC62" s="233" t="s">
        <v>111</v>
      </c>
      <c r="AD62" s="107" t="s">
        <v>622</v>
      </c>
      <c r="AE62" s="198" t="s">
        <v>111</v>
      </c>
      <c r="AF62" s="175"/>
      <c r="AG62" s="176"/>
      <c r="AH62" s="175"/>
      <c r="AI62" s="175"/>
      <c r="AJ62" s="175"/>
      <c r="AK62"/>
    </row>
    <row r="63" spans="1:37" s="30" customFormat="1" ht="15" customHeight="1">
      <c r="A63" s="107" t="s">
        <v>49</v>
      </c>
      <c r="B63" s="46" t="s">
        <v>418</v>
      </c>
      <c r="C63" s="47">
        <f t="shared" si="3"/>
        <v>2</v>
      </c>
      <c r="D63" s="47"/>
      <c r="E63" s="48">
        <f t="shared" si="16"/>
        <v>2</v>
      </c>
      <c r="F63" s="58" t="s">
        <v>239</v>
      </c>
      <c r="G63" s="58" t="s">
        <v>121</v>
      </c>
      <c r="H63" s="51" t="s">
        <v>111</v>
      </c>
      <c r="I63" s="51">
        <f>2887414+76261</f>
        <v>2963675</v>
      </c>
      <c r="J63" s="51">
        <v>15526501.5</v>
      </c>
      <c r="K63" s="51">
        <v>10375039.699999999</v>
      </c>
      <c r="L63" s="51">
        <v>1274677.3</v>
      </c>
      <c r="M63" s="51">
        <f t="shared" si="7"/>
        <v>30139893.5</v>
      </c>
      <c r="N63" s="51" t="s">
        <v>111</v>
      </c>
      <c r="O63" s="53" t="s">
        <v>121</v>
      </c>
      <c r="P63" s="51">
        <f>2563.6+4492.4</f>
        <v>7056</v>
      </c>
      <c r="Q63" s="51" t="s">
        <v>111</v>
      </c>
      <c r="R63" s="51" t="s">
        <v>111</v>
      </c>
      <c r="S63" s="51">
        <f>305578.1+242345.3+30000</f>
        <v>577923.39999999991</v>
      </c>
      <c r="T63" s="51">
        <f>120452.2</f>
        <v>120452.2</v>
      </c>
      <c r="U63" s="51" t="s">
        <v>111</v>
      </c>
      <c r="V63" s="51">
        <f t="shared" si="12"/>
        <v>705431.59999999986</v>
      </c>
      <c r="W63" s="51">
        <f t="shared" si="6"/>
        <v>30845325.100000001</v>
      </c>
      <c r="X63" s="51">
        <v>30845325.099999994</v>
      </c>
      <c r="Y63" s="51">
        <f t="shared" si="17"/>
        <v>0</v>
      </c>
      <c r="Z63" s="50" t="str">
        <f>'1.2'!F62</f>
        <v>149-ЗО</v>
      </c>
      <c r="AA63" s="58">
        <f>'1.1'!H62</f>
        <v>44914</v>
      </c>
      <c r="AB63" s="233" t="s">
        <v>582</v>
      </c>
      <c r="AC63" s="233" t="s">
        <v>111</v>
      </c>
      <c r="AD63" s="107" t="s">
        <v>111</v>
      </c>
      <c r="AE63" s="198"/>
      <c r="AF63" s="175"/>
      <c r="AG63" s="176"/>
      <c r="AH63" s="175"/>
      <c r="AI63" s="175"/>
      <c r="AJ63" s="175"/>
      <c r="AK63"/>
    </row>
    <row r="64" spans="1:37" s="30" customFormat="1" ht="15" customHeight="1">
      <c r="A64" s="107" t="s">
        <v>550</v>
      </c>
      <c r="B64" s="46" t="s">
        <v>418</v>
      </c>
      <c r="C64" s="47">
        <f t="shared" si="3"/>
        <v>2</v>
      </c>
      <c r="D64" s="47">
        <v>0.5</v>
      </c>
      <c r="E64" s="48">
        <f t="shared" si="16"/>
        <v>1</v>
      </c>
      <c r="F64" s="58" t="s">
        <v>239</v>
      </c>
      <c r="G64" s="58" t="s">
        <v>121</v>
      </c>
      <c r="H64" s="51">
        <v>89339527.299999997</v>
      </c>
      <c r="I64" s="51">
        <f>9499899.5+4511766.6+18000+281422</f>
        <v>14311088.1</v>
      </c>
      <c r="J64" s="51">
        <v>28879963.300000001</v>
      </c>
      <c r="K64" s="51">
        <v>45184030.899999999</v>
      </c>
      <c r="L64" s="51">
        <v>964445</v>
      </c>
      <c r="M64" s="51">
        <f t="shared" si="7"/>
        <v>89339527.299999997</v>
      </c>
      <c r="N64" s="51">
        <f t="shared" si="1"/>
        <v>0</v>
      </c>
      <c r="O64" s="53" t="s">
        <v>121</v>
      </c>
      <c r="P64" s="51">
        <v>3264.8</v>
      </c>
      <c r="Q64" s="51" t="s">
        <v>111</v>
      </c>
      <c r="R64" s="51" t="s">
        <v>111</v>
      </c>
      <c r="S64" s="51">
        <f>9100+1763833.9+2224053.5</f>
        <v>3996987.4</v>
      </c>
      <c r="T64" s="51" t="s">
        <v>111</v>
      </c>
      <c r="U64" s="51" t="s">
        <v>111</v>
      </c>
      <c r="V64" s="51">
        <f t="shared" si="12"/>
        <v>4000252.1999999997</v>
      </c>
      <c r="W64" s="51">
        <f t="shared" si="6"/>
        <v>93339779.5</v>
      </c>
      <c r="X64" s="51">
        <v>93339779.49999997</v>
      </c>
      <c r="Y64" s="51">
        <f t="shared" si="17"/>
        <v>0</v>
      </c>
      <c r="Z64" s="50" t="str">
        <f>'1.2'!F63</f>
        <v>197-З</v>
      </c>
      <c r="AA64" s="58">
        <f>'1.1'!H63</f>
        <v>44915</v>
      </c>
      <c r="AB64" s="233" t="s">
        <v>594</v>
      </c>
      <c r="AC64" s="233" t="s">
        <v>111</v>
      </c>
      <c r="AD64" s="107" t="s">
        <v>593</v>
      </c>
      <c r="AE64" s="198" t="s">
        <v>111</v>
      </c>
      <c r="AF64" s="175"/>
      <c r="AG64" s="176"/>
      <c r="AH64" s="175"/>
      <c r="AI64" s="175"/>
      <c r="AJ64" s="175"/>
      <c r="AK64"/>
    </row>
    <row r="65" spans="1:37" s="30" customFormat="1" ht="15" customHeight="1">
      <c r="A65" s="107" t="s">
        <v>50</v>
      </c>
      <c r="B65" s="46" t="s">
        <v>418</v>
      </c>
      <c r="C65" s="47">
        <f t="shared" si="3"/>
        <v>2</v>
      </c>
      <c r="D65" s="47"/>
      <c r="E65" s="48">
        <f t="shared" si="16"/>
        <v>2</v>
      </c>
      <c r="F65" s="58" t="s">
        <v>239</v>
      </c>
      <c r="G65" s="58" t="s">
        <v>121</v>
      </c>
      <c r="H65" s="51">
        <v>53883564.899999999</v>
      </c>
      <c r="I65" s="51">
        <v>11555471.800000001</v>
      </c>
      <c r="J65" s="51">
        <v>18293559.300000001</v>
      </c>
      <c r="K65" s="51">
        <v>22569908.100000001</v>
      </c>
      <c r="L65" s="51">
        <v>1464625.7</v>
      </c>
      <c r="M65" s="51">
        <f t="shared" si="7"/>
        <v>53883564.900000006</v>
      </c>
      <c r="N65" s="51">
        <f t="shared" si="1"/>
        <v>0</v>
      </c>
      <c r="O65" s="53" t="s">
        <v>121</v>
      </c>
      <c r="P65" s="51">
        <v>8764</v>
      </c>
      <c r="Q65" s="51" t="s">
        <v>111</v>
      </c>
      <c r="R65" s="51" t="s">
        <v>111</v>
      </c>
      <c r="S65" s="51">
        <v>2886760.6</v>
      </c>
      <c r="T65" s="51">
        <v>32092.5</v>
      </c>
      <c r="U65" s="163" t="s">
        <v>111</v>
      </c>
      <c r="V65" s="51">
        <f t="shared" si="12"/>
        <v>2927617.1</v>
      </c>
      <c r="W65" s="51">
        <f t="shared" si="6"/>
        <v>56811182.000000007</v>
      </c>
      <c r="X65" s="163">
        <v>56811182.000000007</v>
      </c>
      <c r="Y65" s="163">
        <f t="shared" si="17"/>
        <v>0</v>
      </c>
      <c r="Z65" s="136" t="str">
        <f>'1.2'!F64</f>
        <v>636/237-VII-ОЗ</v>
      </c>
      <c r="AA65" s="58">
        <f>'1.1'!H64</f>
        <v>44910</v>
      </c>
      <c r="AB65" s="234" t="s">
        <v>215</v>
      </c>
      <c r="AC65" s="234" t="s">
        <v>293</v>
      </c>
      <c r="AD65" s="107" t="s">
        <v>111</v>
      </c>
      <c r="AE65" s="198" t="s">
        <v>111</v>
      </c>
      <c r="AF65" s="177"/>
      <c r="AG65" s="177"/>
      <c r="AH65" s="177"/>
      <c r="AI65" s="177"/>
      <c r="AJ65" s="177"/>
    </row>
    <row r="66" spans="1:37" ht="15" customHeight="1">
      <c r="A66" s="107" t="s">
        <v>51</v>
      </c>
      <c r="B66" s="46" t="s">
        <v>212</v>
      </c>
      <c r="C66" s="47">
        <f t="shared" si="3"/>
        <v>0</v>
      </c>
      <c r="D66" s="47"/>
      <c r="E66" s="48">
        <f t="shared" si="16"/>
        <v>0</v>
      </c>
      <c r="F66" s="58" t="s">
        <v>595</v>
      </c>
      <c r="G66" s="58" t="s">
        <v>122</v>
      </c>
      <c r="H66" s="51" t="s">
        <v>111</v>
      </c>
      <c r="I66" s="51" t="s">
        <v>111</v>
      </c>
      <c r="J66" s="51" t="s">
        <v>111</v>
      </c>
      <c r="K66" s="51" t="s">
        <v>111</v>
      </c>
      <c r="L66" s="51" t="s">
        <v>111</v>
      </c>
      <c r="M66" s="51">
        <f t="shared" si="7"/>
        <v>0</v>
      </c>
      <c r="N66" s="51" t="s">
        <v>111</v>
      </c>
      <c r="O66" s="58" t="s">
        <v>111</v>
      </c>
      <c r="P66" s="51" t="s">
        <v>111</v>
      </c>
      <c r="Q66" s="51" t="s">
        <v>111</v>
      </c>
      <c r="R66" s="51" t="s">
        <v>111</v>
      </c>
      <c r="S66" s="51">
        <v>23803.3</v>
      </c>
      <c r="T66" s="51" t="s">
        <v>111</v>
      </c>
      <c r="U66" s="51" t="s">
        <v>111</v>
      </c>
      <c r="V66" s="51">
        <f t="shared" si="12"/>
        <v>23803.3</v>
      </c>
      <c r="W66" s="51">
        <f t="shared" si="6"/>
        <v>23803.3</v>
      </c>
      <c r="X66" s="51">
        <v>34904282.599999987</v>
      </c>
      <c r="Y66" s="51">
        <f>X66-W66</f>
        <v>34880479.29999999</v>
      </c>
      <c r="Z66" s="50" t="str">
        <f>'1.2'!F65</f>
        <v>3935-ЗПО</v>
      </c>
      <c r="AA66" s="58">
        <f>'1.1'!H65</f>
        <v>44911</v>
      </c>
      <c r="AB66" s="233" t="s">
        <v>443</v>
      </c>
      <c r="AC66" s="233" t="s">
        <v>293</v>
      </c>
      <c r="AD66" s="107" t="s">
        <v>596</v>
      </c>
      <c r="AE66" s="198" t="s">
        <v>111</v>
      </c>
      <c r="AF66" s="175"/>
      <c r="AG66" s="176"/>
      <c r="AH66" s="175"/>
      <c r="AI66" s="175"/>
      <c r="AJ66" s="175"/>
    </row>
    <row r="67" spans="1:37" ht="15" customHeight="1">
      <c r="A67" s="107" t="s">
        <v>52</v>
      </c>
      <c r="B67" s="46" t="s">
        <v>212</v>
      </c>
      <c r="C67" s="47">
        <f t="shared" si="3"/>
        <v>0</v>
      </c>
      <c r="D67" s="47"/>
      <c r="E67" s="48">
        <f t="shared" si="16"/>
        <v>0</v>
      </c>
      <c r="F67" s="58" t="s">
        <v>249</v>
      </c>
      <c r="G67" s="58" t="s">
        <v>249</v>
      </c>
      <c r="H67" s="189">
        <v>49091094</v>
      </c>
      <c r="I67" s="189">
        <v>6700178</v>
      </c>
      <c r="J67" s="189">
        <v>24230242</v>
      </c>
      <c r="K67" s="189">
        <v>17292991</v>
      </c>
      <c r="L67" s="189">
        <v>867683</v>
      </c>
      <c r="M67" s="51">
        <f t="shared" si="7"/>
        <v>49091094</v>
      </c>
      <c r="N67" s="51">
        <f t="shared" si="1"/>
        <v>0</v>
      </c>
      <c r="O67" s="58" t="s">
        <v>111</v>
      </c>
      <c r="P67" s="189">
        <v>100000</v>
      </c>
      <c r="Q67" s="51" t="s">
        <v>111</v>
      </c>
      <c r="R67" s="189">
        <v>6321188</v>
      </c>
      <c r="S67" s="51" t="s">
        <v>111</v>
      </c>
      <c r="T67" s="51" t="s">
        <v>111</v>
      </c>
      <c r="U67" s="51" t="s">
        <v>111</v>
      </c>
      <c r="V67" s="51">
        <f t="shared" si="12"/>
        <v>6421188</v>
      </c>
      <c r="W67" s="51">
        <f t="shared" si="6"/>
        <v>55512282</v>
      </c>
      <c r="X67" s="51">
        <v>56376555</v>
      </c>
      <c r="Y67" s="51">
        <f>X67-W67</f>
        <v>864273</v>
      </c>
      <c r="Z67" s="50" t="str">
        <f>'1.2'!F66</f>
        <v>118-ГД</v>
      </c>
      <c r="AA67" s="58">
        <f>'1.1'!H66</f>
        <v>44895</v>
      </c>
      <c r="AB67" s="233" t="s">
        <v>448</v>
      </c>
      <c r="AC67" s="233" t="s">
        <v>111</v>
      </c>
      <c r="AD67" s="107" t="s">
        <v>623</v>
      </c>
      <c r="AE67" s="198" t="s">
        <v>111</v>
      </c>
      <c r="AF67" s="175"/>
      <c r="AG67" s="175"/>
      <c r="AH67" s="175"/>
      <c r="AI67" s="175"/>
      <c r="AJ67" s="175"/>
    </row>
    <row r="68" spans="1:37" s="30" customFormat="1" ht="15" customHeight="1">
      <c r="A68" s="107" t="s">
        <v>53</v>
      </c>
      <c r="B68" s="46" t="s">
        <v>418</v>
      </c>
      <c r="C68" s="47">
        <f t="shared" si="3"/>
        <v>2</v>
      </c>
      <c r="D68" s="47"/>
      <c r="E68" s="48">
        <f t="shared" si="16"/>
        <v>2</v>
      </c>
      <c r="F68" s="58" t="s">
        <v>239</v>
      </c>
      <c r="G68" s="58" t="s">
        <v>121</v>
      </c>
      <c r="H68" s="51">
        <v>38294163.5</v>
      </c>
      <c r="I68" s="51">
        <v>4468540.5999999996</v>
      </c>
      <c r="J68" s="51">
        <v>7800973.5</v>
      </c>
      <c r="K68" s="51">
        <v>24629309.399999999</v>
      </c>
      <c r="L68" s="51">
        <v>1395340</v>
      </c>
      <c r="M68" s="51">
        <f t="shared" si="7"/>
        <v>38294163.5</v>
      </c>
      <c r="N68" s="51">
        <f t="shared" si="1"/>
        <v>0</v>
      </c>
      <c r="O68" s="53" t="s">
        <v>121</v>
      </c>
      <c r="P68" s="51">
        <v>2068.1</v>
      </c>
      <c r="Q68" s="51" t="s">
        <v>111</v>
      </c>
      <c r="R68" s="51" t="s">
        <v>111</v>
      </c>
      <c r="S68" s="51">
        <v>1286745.3999999999</v>
      </c>
      <c r="T68" s="51" t="s">
        <v>111</v>
      </c>
      <c r="U68" s="51" t="s">
        <v>111</v>
      </c>
      <c r="V68" s="51">
        <f t="shared" si="12"/>
        <v>1288813.5</v>
      </c>
      <c r="W68" s="51">
        <f t="shared" si="6"/>
        <v>39582977</v>
      </c>
      <c r="X68" s="51">
        <v>39582977</v>
      </c>
      <c r="Y68" s="51">
        <f t="shared" ref="Y68:Y99" si="18">X68-W68</f>
        <v>0</v>
      </c>
      <c r="Z68" s="50" t="str">
        <f>'1.2'!F67</f>
        <v>151-ЗСО</v>
      </c>
      <c r="AA68" s="58">
        <f>'1.1'!H67</f>
        <v>44895</v>
      </c>
      <c r="AB68" s="233">
        <v>6</v>
      </c>
      <c r="AC68" s="233">
        <v>8</v>
      </c>
      <c r="AD68" s="107" t="s">
        <v>111</v>
      </c>
      <c r="AE68" s="198"/>
      <c r="AF68" s="175"/>
      <c r="AG68" s="176"/>
      <c r="AH68" s="175"/>
      <c r="AI68" s="175"/>
      <c r="AJ68" s="175"/>
      <c r="AK68"/>
    </row>
    <row r="69" spans="1:37" ht="15" customHeight="1">
      <c r="A69" s="107" t="s">
        <v>54</v>
      </c>
      <c r="B69" s="46" t="s">
        <v>418</v>
      </c>
      <c r="C69" s="47">
        <f t="shared" si="3"/>
        <v>2</v>
      </c>
      <c r="D69" s="47"/>
      <c r="E69" s="48">
        <f t="shared" si="16"/>
        <v>2</v>
      </c>
      <c r="F69" s="58" t="s">
        <v>239</v>
      </c>
      <c r="G69" s="58" t="s">
        <v>121</v>
      </c>
      <c r="H69" s="51" t="s">
        <v>111</v>
      </c>
      <c r="I69" s="51">
        <v>3861273.3</v>
      </c>
      <c r="J69" s="51">
        <v>6884008.3191799996</v>
      </c>
      <c r="K69" s="51">
        <v>13328858.640000001</v>
      </c>
      <c r="L69" s="51">
        <v>2253708.9</v>
      </c>
      <c r="M69" s="51">
        <f t="shared" si="7"/>
        <v>26327849.15918</v>
      </c>
      <c r="N69" s="51" t="s">
        <v>111</v>
      </c>
      <c r="O69" s="58" t="s">
        <v>121</v>
      </c>
      <c r="P69" s="51">
        <v>1708.7</v>
      </c>
      <c r="Q69" s="51" t="s">
        <v>111</v>
      </c>
      <c r="R69" s="51" t="s">
        <v>111</v>
      </c>
      <c r="S69" s="51">
        <v>1139011.3999999999</v>
      </c>
      <c r="T69" s="51">
        <v>45000</v>
      </c>
      <c r="U69" s="51" t="s">
        <v>111</v>
      </c>
      <c r="V69" s="51">
        <f t="shared" si="12"/>
        <v>1185720.0999999999</v>
      </c>
      <c r="W69" s="51">
        <f t="shared" si="6"/>
        <v>27513569.259180002</v>
      </c>
      <c r="X69" s="51">
        <v>27513569.259179998</v>
      </c>
      <c r="Y69" s="51">
        <f>X69-W69</f>
        <v>0</v>
      </c>
      <c r="Z69" s="50" t="str">
        <f>'1.2'!F68</f>
        <v>119-ЗО</v>
      </c>
      <c r="AA69" s="58">
        <f>'1.1'!H68</f>
        <v>44903</v>
      </c>
      <c r="AB69" s="233">
        <v>9</v>
      </c>
      <c r="AC69" s="233">
        <v>8</v>
      </c>
      <c r="AD69" s="107" t="s">
        <v>111</v>
      </c>
      <c r="AE69" s="198" t="s">
        <v>111</v>
      </c>
      <c r="AF69" s="175"/>
      <c r="AG69" s="176"/>
      <c r="AH69" s="175"/>
      <c r="AI69" s="175"/>
      <c r="AJ69" s="175"/>
    </row>
    <row r="70" spans="1:37" ht="15" customHeight="1">
      <c r="A70" s="120" t="s">
        <v>55</v>
      </c>
      <c r="B70" s="43"/>
      <c r="C70" s="43"/>
      <c r="D70" s="43"/>
      <c r="E70" s="43"/>
      <c r="F70" s="59"/>
      <c r="G70" s="59"/>
      <c r="H70" s="56"/>
      <c r="I70" s="56"/>
      <c r="J70" s="56"/>
      <c r="K70" s="56"/>
      <c r="L70" s="56"/>
      <c r="M70" s="56"/>
      <c r="N70" s="56"/>
      <c r="O70" s="56"/>
      <c r="P70" s="56"/>
      <c r="Q70" s="56"/>
      <c r="R70" s="56"/>
      <c r="S70" s="56"/>
      <c r="T70" s="56"/>
      <c r="U70" s="56"/>
      <c r="V70" s="56"/>
      <c r="W70" s="56"/>
      <c r="X70" s="56"/>
      <c r="Y70" s="56"/>
      <c r="Z70" s="239"/>
      <c r="AA70" s="59"/>
      <c r="AB70" s="45"/>
      <c r="AC70" s="45"/>
      <c r="AD70" s="120"/>
      <c r="AE70" s="198"/>
      <c r="AF70" s="175"/>
      <c r="AG70" s="175"/>
      <c r="AH70" s="175"/>
      <c r="AI70" s="175"/>
      <c r="AJ70" s="175"/>
    </row>
    <row r="71" spans="1:37" s="30" customFormat="1" ht="15" customHeight="1">
      <c r="A71" s="107" t="s">
        <v>56</v>
      </c>
      <c r="B71" s="46" t="s">
        <v>212</v>
      </c>
      <c r="C71" s="47">
        <f t="shared" si="3"/>
        <v>0</v>
      </c>
      <c r="D71" s="47"/>
      <c r="E71" s="48">
        <f t="shared" ref="E71:E76" si="19">C71*(1-D71)</f>
        <v>0</v>
      </c>
      <c r="F71" s="58" t="s">
        <v>122</v>
      </c>
      <c r="G71" s="58" t="s">
        <v>122</v>
      </c>
      <c r="H71" s="51">
        <v>25512415.300000001</v>
      </c>
      <c r="I71" s="51" t="s">
        <v>111</v>
      </c>
      <c r="J71" s="51">
        <v>7871843.4000000004</v>
      </c>
      <c r="K71" s="51" t="s">
        <v>111</v>
      </c>
      <c r="L71" s="51" t="s">
        <v>111</v>
      </c>
      <c r="M71" s="51">
        <f t="shared" si="7"/>
        <v>7871843.4000000004</v>
      </c>
      <c r="N71" s="51">
        <f t="shared" si="1"/>
        <v>17640571.899999999</v>
      </c>
      <c r="O71" s="53" t="s">
        <v>122</v>
      </c>
      <c r="P71" s="51" t="s">
        <v>111</v>
      </c>
      <c r="Q71" s="51" t="s">
        <v>111</v>
      </c>
      <c r="R71" s="51" t="s">
        <v>111</v>
      </c>
      <c r="S71" s="51" t="s">
        <v>111</v>
      </c>
      <c r="T71" s="51" t="s">
        <v>111</v>
      </c>
      <c r="U71" s="51" t="s">
        <v>111</v>
      </c>
      <c r="V71" s="51">
        <f t="shared" si="12"/>
        <v>0</v>
      </c>
      <c r="W71" s="51">
        <f t="shared" si="6"/>
        <v>7871843.4000000004</v>
      </c>
      <c r="X71" s="51">
        <v>25569208.399999999</v>
      </c>
      <c r="Y71" s="51">
        <f t="shared" ref="Y71:Y72" si="20">X71-W71</f>
        <v>17697365</v>
      </c>
      <c r="Z71" s="50">
        <f>'1.2'!F70</f>
        <v>101</v>
      </c>
      <c r="AA71" s="58">
        <f>'1.1'!H70</f>
        <v>44923</v>
      </c>
      <c r="AB71" s="233" t="s">
        <v>598</v>
      </c>
      <c r="AC71" s="233" t="s">
        <v>221</v>
      </c>
      <c r="AD71" s="107" t="s">
        <v>597</v>
      </c>
      <c r="AE71" s="198" t="s">
        <v>111</v>
      </c>
      <c r="AF71" s="175"/>
      <c r="AG71" s="176"/>
      <c r="AH71" s="175"/>
      <c r="AI71" s="175"/>
      <c r="AJ71" s="175"/>
      <c r="AK71"/>
    </row>
    <row r="72" spans="1:37" ht="15" customHeight="1">
      <c r="A72" s="107" t="s">
        <v>57</v>
      </c>
      <c r="B72" s="46" t="s">
        <v>212</v>
      </c>
      <c r="C72" s="47">
        <f t="shared" si="3"/>
        <v>0</v>
      </c>
      <c r="D72" s="47"/>
      <c r="E72" s="48">
        <f t="shared" si="19"/>
        <v>0</v>
      </c>
      <c r="F72" s="58" t="s">
        <v>122</v>
      </c>
      <c r="G72" s="58" t="s">
        <v>122</v>
      </c>
      <c r="H72" s="51" t="s">
        <v>111</v>
      </c>
      <c r="I72" s="51" t="s">
        <v>111</v>
      </c>
      <c r="J72" s="51" t="s">
        <v>111</v>
      </c>
      <c r="K72" s="51" t="s">
        <v>111</v>
      </c>
      <c r="L72" s="51" t="s">
        <v>111</v>
      </c>
      <c r="M72" s="51">
        <f t="shared" si="7"/>
        <v>0</v>
      </c>
      <c r="N72" s="51" t="s">
        <v>111</v>
      </c>
      <c r="O72" s="53" t="s">
        <v>122</v>
      </c>
      <c r="P72" s="51" t="s">
        <v>111</v>
      </c>
      <c r="Q72" s="51" t="s">
        <v>111</v>
      </c>
      <c r="R72" s="51" t="s">
        <v>111</v>
      </c>
      <c r="S72" s="51" t="s">
        <v>111</v>
      </c>
      <c r="T72" s="51" t="s">
        <v>111</v>
      </c>
      <c r="U72" s="51" t="s">
        <v>111</v>
      </c>
      <c r="V72" s="51">
        <f t="shared" si="12"/>
        <v>0</v>
      </c>
      <c r="W72" s="51">
        <f t="shared" si="6"/>
        <v>0</v>
      </c>
      <c r="X72" s="51">
        <v>138680972.69999993</v>
      </c>
      <c r="Y72" s="51">
        <f t="shared" si="20"/>
        <v>138680972.69999993</v>
      </c>
      <c r="Z72" s="50" t="str">
        <f>'1.2'!F71</f>
        <v>137-ОЗ</v>
      </c>
      <c r="AA72" s="58">
        <f>'1.1'!H71</f>
        <v>44902</v>
      </c>
      <c r="AB72" s="233">
        <v>11</v>
      </c>
      <c r="AC72" s="233" t="s">
        <v>111</v>
      </c>
      <c r="AD72" s="107" t="s">
        <v>252</v>
      </c>
      <c r="AE72" s="198" t="s">
        <v>111</v>
      </c>
      <c r="AF72" s="175"/>
      <c r="AG72" s="176"/>
      <c r="AH72" s="175"/>
      <c r="AI72" s="175"/>
      <c r="AJ72" s="175"/>
    </row>
    <row r="73" spans="1:37" ht="15" customHeight="1">
      <c r="A73" s="107" t="s">
        <v>58</v>
      </c>
      <c r="B73" s="46" t="s">
        <v>419</v>
      </c>
      <c r="C73" s="47">
        <f t="shared" ref="C73:C99" si="21">IF(B73=$B$4,2,IF(B73=$B$5,1,0))</f>
        <v>1</v>
      </c>
      <c r="D73" s="47"/>
      <c r="E73" s="48">
        <f t="shared" si="19"/>
        <v>1</v>
      </c>
      <c r="F73" s="58" t="s">
        <v>232</v>
      </c>
      <c r="G73" s="58" t="s">
        <v>121</v>
      </c>
      <c r="H73" s="51">
        <v>69953592</v>
      </c>
      <c r="I73" s="51">
        <v>34507001</v>
      </c>
      <c r="J73" s="51">
        <v>5862130</v>
      </c>
      <c r="K73" s="51">
        <v>24218831</v>
      </c>
      <c r="L73" s="51">
        <v>5365630</v>
      </c>
      <c r="M73" s="51">
        <f t="shared" si="7"/>
        <v>69953592</v>
      </c>
      <c r="N73" s="51">
        <f t="shared" ref="N73:N99" si="22">H73-M73</f>
        <v>0</v>
      </c>
      <c r="O73" s="53" t="s">
        <v>122</v>
      </c>
      <c r="P73" s="51" t="s">
        <v>111</v>
      </c>
      <c r="Q73" s="51" t="s">
        <v>111</v>
      </c>
      <c r="R73" s="51" t="s">
        <v>111</v>
      </c>
      <c r="S73" s="51" t="s">
        <v>111</v>
      </c>
      <c r="T73" s="51" t="s">
        <v>111</v>
      </c>
      <c r="U73" s="51" t="s">
        <v>111</v>
      </c>
      <c r="V73" s="51">
        <f t="shared" si="12"/>
        <v>0</v>
      </c>
      <c r="W73" s="51">
        <f t="shared" si="6"/>
        <v>69953592</v>
      </c>
      <c r="X73" s="51">
        <v>113200066</v>
      </c>
      <c r="Y73" s="51">
        <f t="shared" si="18"/>
        <v>43246474</v>
      </c>
      <c r="Z73" s="50">
        <f>'1.2'!F72</f>
        <v>77</v>
      </c>
      <c r="AA73" s="58">
        <f>'1.1'!H72</f>
        <v>44896</v>
      </c>
      <c r="AB73" s="233">
        <v>6</v>
      </c>
      <c r="AC73" s="233">
        <v>24</v>
      </c>
      <c r="AD73" s="107" t="s">
        <v>610</v>
      </c>
      <c r="AE73" s="198" t="s">
        <v>111</v>
      </c>
      <c r="AF73" s="175"/>
      <c r="AG73" s="176"/>
      <c r="AH73" s="175"/>
      <c r="AI73" s="175"/>
      <c r="AJ73" s="175"/>
    </row>
    <row r="74" spans="1:37" s="30" customFormat="1" ht="15" customHeight="1">
      <c r="A74" s="107" t="s">
        <v>59</v>
      </c>
      <c r="B74" s="46" t="s">
        <v>418</v>
      </c>
      <c r="C74" s="47">
        <f t="shared" si="21"/>
        <v>2</v>
      </c>
      <c r="D74" s="47"/>
      <c r="E74" s="48">
        <f t="shared" si="19"/>
        <v>2</v>
      </c>
      <c r="F74" s="58" t="s">
        <v>239</v>
      </c>
      <c r="G74" s="58" t="s">
        <v>121</v>
      </c>
      <c r="H74" s="51">
        <v>121286849.8</v>
      </c>
      <c r="I74" s="51">
        <v>20072432.800000001</v>
      </c>
      <c r="J74" s="51">
        <v>31606121.899999999</v>
      </c>
      <c r="K74" s="51">
        <v>64893360.5</v>
      </c>
      <c r="L74" s="51">
        <v>4714934.5999999996</v>
      </c>
      <c r="M74" s="51">
        <f t="shared" si="7"/>
        <v>121286849.8</v>
      </c>
      <c r="N74" s="51">
        <f t="shared" si="22"/>
        <v>0</v>
      </c>
      <c r="O74" s="53" t="s">
        <v>121</v>
      </c>
      <c r="P74" s="51">
        <v>9458.7999999999993</v>
      </c>
      <c r="Q74" s="51" t="s">
        <v>111</v>
      </c>
      <c r="R74" s="51" t="s">
        <v>111</v>
      </c>
      <c r="S74" s="51">
        <v>5679128.7999999998</v>
      </c>
      <c r="T74" s="51">
        <v>963588.6</v>
      </c>
      <c r="U74" s="51" t="s">
        <v>111</v>
      </c>
      <c r="V74" s="51">
        <f t="shared" si="12"/>
        <v>6652176.1999999993</v>
      </c>
      <c r="W74" s="51">
        <f t="shared" si="6"/>
        <v>127939026</v>
      </c>
      <c r="X74" s="51">
        <v>127939026.00000003</v>
      </c>
      <c r="Y74" s="51">
        <f t="shared" si="18"/>
        <v>0</v>
      </c>
      <c r="Z74" s="50" t="str">
        <f>'1.2'!F73</f>
        <v>727-ЗО</v>
      </c>
      <c r="AA74" s="58">
        <f>'1.1'!H73</f>
        <v>44922</v>
      </c>
      <c r="AB74" s="233" t="s">
        <v>218</v>
      </c>
      <c r="AC74" s="233" t="s">
        <v>111</v>
      </c>
      <c r="AD74" s="107" t="s">
        <v>111</v>
      </c>
      <c r="AE74" s="198"/>
      <c r="AF74" s="175"/>
      <c r="AG74" s="176"/>
      <c r="AH74" s="175"/>
      <c r="AI74" s="175"/>
      <c r="AJ74" s="175"/>
      <c r="AK74"/>
    </row>
    <row r="75" spans="1:37" s="30" customFormat="1" ht="15" customHeight="1">
      <c r="A75" s="107" t="s">
        <v>551</v>
      </c>
      <c r="B75" s="46" t="s">
        <v>418</v>
      </c>
      <c r="C75" s="47">
        <f t="shared" si="21"/>
        <v>2</v>
      </c>
      <c r="D75" s="47"/>
      <c r="E75" s="48">
        <f t="shared" si="19"/>
        <v>2</v>
      </c>
      <c r="F75" s="58" t="s">
        <v>239</v>
      </c>
      <c r="G75" s="58" t="s">
        <v>121</v>
      </c>
      <c r="H75" s="51">
        <v>117978785.90000001</v>
      </c>
      <c r="I75" s="144">
        <v>12336804.5</v>
      </c>
      <c r="J75" s="51">
        <v>32923129.399999999</v>
      </c>
      <c r="K75" s="51">
        <v>70756709.700000003</v>
      </c>
      <c r="L75" s="51">
        <v>1962142.3</v>
      </c>
      <c r="M75" s="51">
        <f t="shared" si="7"/>
        <v>117978785.89999999</v>
      </c>
      <c r="N75" s="51">
        <f t="shared" si="22"/>
        <v>0</v>
      </c>
      <c r="O75" s="53" t="s">
        <v>121</v>
      </c>
      <c r="P75" s="51">
        <v>157791.9</v>
      </c>
      <c r="Q75" s="51" t="s">
        <v>111</v>
      </c>
      <c r="R75" s="51" t="s">
        <v>111</v>
      </c>
      <c r="S75" s="51">
        <v>8162822</v>
      </c>
      <c r="T75" s="51">
        <v>8422964.9000000004</v>
      </c>
      <c r="U75" s="51" t="s">
        <v>111</v>
      </c>
      <c r="V75" s="51">
        <f t="shared" si="12"/>
        <v>16743578.800000001</v>
      </c>
      <c r="W75" s="51">
        <f t="shared" si="6"/>
        <v>134722364.69999999</v>
      </c>
      <c r="X75" s="51">
        <v>134722364.69999999</v>
      </c>
      <c r="Y75" s="51">
        <f t="shared" si="18"/>
        <v>0</v>
      </c>
      <c r="Z75" s="50" t="str">
        <f>'1.2'!F74</f>
        <v>132-оз</v>
      </c>
      <c r="AA75" s="58">
        <f>'1.1'!H74</f>
        <v>44889</v>
      </c>
      <c r="AB75" s="233">
        <v>5</v>
      </c>
      <c r="AC75" s="233" t="s">
        <v>577</v>
      </c>
      <c r="AD75" s="107" t="s">
        <v>111</v>
      </c>
      <c r="AE75" s="198"/>
      <c r="AF75" s="175"/>
      <c r="AG75" s="176"/>
      <c r="AH75" s="175"/>
      <c r="AI75" s="175"/>
      <c r="AJ75" s="175"/>
      <c r="AK75"/>
    </row>
    <row r="76" spans="1:37" s="30" customFormat="1" ht="15" customHeight="1">
      <c r="A76" s="107" t="s">
        <v>60</v>
      </c>
      <c r="B76" s="46" t="s">
        <v>418</v>
      </c>
      <c r="C76" s="47">
        <f t="shared" si="21"/>
        <v>2</v>
      </c>
      <c r="D76" s="47"/>
      <c r="E76" s="48">
        <f t="shared" si="19"/>
        <v>2</v>
      </c>
      <c r="F76" s="58" t="s">
        <v>239</v>
      </c>
      <c r="G76" s="58" t="s">
        <v>121</v>
      </c>
      <c r="H76" s="51">
        <v>118978059</v>
      </c>
      <c r="I76" s="51">
        <v>37496891</v>
      </c>
      <c r="J76" s="51">
        <v>48140859</v>
      </c>
      <c r="K76" s="51">
        <v>31979460</v>
      </c>
      <c r="L76" s="51">
        <v>1360849</v>
      </c>
      <c r="M76" s="51">
        <f>SUM(I76:L76)</f>
        <v>118978059</v>
      </c>
      <c r="N76" s="51">
        <f t="shared" si="22"/>
        <v>0</v>
      </c>
      <c r="O76" s="53" t="s">
        <v>121</v>
      </c>
      <c r="P76" s="51">
        <v>149298</v>
      </c>
      <c r="Q76" s="51">
        <v>350000</v>
      </c>
      <c r="R76" s="282">
        <v>8648468</v>
      </c>
      <c r="S76" s="283"/>
      <c r="T76" s="284"/>
      <c r="U76" s="51" t="s">
        <v>111</v>
      </c>
      <c r="V76" s="51">
        <f t="shared" si="12"/>
        <v>9147766</v>
      </c>
      <c r="W76" s="51">
        <f>M76+V76</f>
        <v>128125825</v>
      </c>
      <c r="X76" s="51">
        <v>128125825</v>
      </c>
      <c r="Y76" s="51">
        <f t="shared" si="18"/>
        <v>0</v>
      </c>
      <c r="Z76" s="50" t="str">
        <f>'1.2'!F75</f>
        <v>101-ЗАО</v>
      </c>
      <c r="AA76" s="58">
        <f>'1.1'!H75</f>
        <v>44889</v>
      </c>
      <c r="AB76" s="233">
        <v>9</v>
      </c>
      <c r="AC76" s="233">
        <v>15</v>
      </c>
      <c r="AD76" s="107" t="s">
        <v>605</v>
      </c>
      <c r="AE76" s="198" t="s">
        <v>111</v>
      </c>
      <c r="AF76" s="175"/>
      <c r="AG76" s="176"/>
      <c r="AH76" s="175"/>
      <c r="AI76" s="175"/>
      <c r="AJ76" s="175"/>
      <c r="AK76"/>
    </row>
    <row r="77" spans="1:37" ht="15" customHeight="1">
      <c r="A77" s="120" t="s">
        <v>61</v>
      </c>
      <c r="B77" s="43"/>
      <c r="C77" s="43"/>
      <c r="D77" s="43"/>
      <c r="E77" s="43"/>
      <c r="F77" s="59"/>
      <c r="G77" s="59"/>
      <c r="H77" s="56"/>
      <c r="I77" s="56"/>
      <c r="J77" s="56"/>
      <c r="K77" s="56"/>
      <c r="L77" s="56"/>
      <c r="M77" s="56"/>
      <c r="N77" s="56"/>
      <c r="O77" s="56"/>
      <c r="P77" s="56"/>
      <c r="Q77" s="56"/>
      <c r="R77" s="56"/>
      <c r="S77" s="56"/>
      <c r="T77" s="56"/>
      <c r="U77" s="56"/>
      <c r="V77" s="56"/>
      <c r="W77" s="56"/>
      <c r="X77" s="56"/>
      <c r="Y77" s="56"/>
      <c r="Z77" s="239"/>
      <c r="AA77" s="59"/>
      <c r="AB77" s="45"/>
      <c r="AC77" s="45"/>
      <c r="AD77" s="120"/>
      <c r="AE77" s="198"/>
      <c r="AF77" s="175"/>
      <c r="AG77" s="175"/>
      <c r="AH77" s="175"/>
      <c r="AI77" s="175"/>
      <c r="AJ77" s="175"/>
    </row>
    <row r="78" spans="1:37" s="30" customFormat="1" ht="15" customHeight="1">
      <c r="A78" s="107" t="s">
        <v>62</v>
      </c>
      <c r="B78" s="46" t="s">
        <v>419</v>
      </c>
      <c r="C78" s="47">
        <f t="shared" si="21"/>
        <v>1</v>
      </c>
      <c r="D78" s="47"/>
      <c r="E78" s="48">
        <f>C78*(1-D78)</f>
        <v>1</v>
      </c>
      <c r="F78" s="58" t="s">
        <v>232</v>
      </c>
      <c r="G78" s="58" t="s">
        <v>121</v>
      </c>
      <c r="H78" s="51" t="s">
        <v>111</v>
      </c>
      <c r="I78" s="51">
        <v>1811009.2</v>
      </c>
      <c r="J78" s="51">
        <v>2250507.5</v>
      </c>
      <c r="K78" s="51">
        <v>4318055.4000000004</v>
      </c>
      <c r="L78" s="51">
        <v>827414.4</v>
      </c>
      <c r="M78" s="51">
        <f t="shared" ref="M78:M99" si="23">SUM(I78:L78)</f>
        <v>9206986.5</v>
      </c>
      <c r="N78" s="51" t="s">
        <v>111</v>
      </c>
      <c r="O78" s="53" t="s">
        <v>122</v>
      </c>
      <c r="P78" s="51" t="s">
        <v>111</v>
      </c>
      <c r="Q78" s="51" t="s">
        <v>111</v>
      </c>
      <c r="R78" s="51" t="s">
        <v>111</v>
      </c>
      <c r="S78" s="51" t="s">
        <v>111</v>
      </c>
      <c r="T78" s="51" t="s">
        <v>111</v>
      </c>
      <c r="U78" s="51" t="s">
        <v>111</v>
      </c>
      <c r="V78" s="51">
        <f t="shared" si="12"/>
        <v>0</v>
      </c>
      <c r="W78" s="51">
        <f t="shared" ref="W78:W99" si="24">M78+V78</f>
        <v>9206986.5</v>
      </c>
      <c r="X78" s="51">
        <v>9255674.8999999966</v>
      </c>
      <c r="Y78" s="51">
        <f t="shared" si="18"/>
        <v>48688.399999996647</v>
      </c>
      <c r="Z78" s="50" t="str">
        <f>'1.2'!F77</f>
        <v>93-РЗ</v>
      </c>
      <c r="AA78" s="58">
        <f>'1.1'!H77</f>
        <v>44915</v>
      </c>
      <c r="AB78" s="233" t="s">
        <v>442</v>
      </c>
      <c r="AC78" s="233" t="s">
        <v>111</v>
      </c>
      <c r="AD78" s="107" t="s">
        <v>611</v>
      </c>
      <c r="AE78" s="198" t="s">
        <v>111</v>
      </c>
      <c r="AF78" s="175"/>
      <c r="AG78" s="176"/>
      <c r="AH78" s="175"/>
      <c r="AI78" s="175"/>
      <c r="AJ78" s="175"/>
      <c r="AK78"/>
    </row>
    <row r="79" spans="1:37" s="30" customFormat="1" ht="15" customHeight="1">
      <c r="A79" s="107" t="s">
        <v>64</v>
      </c>
      <c r="B79" s="46" t="s">
        <v>212</v>
      </c>
      <c r="C79" s="47">
        <f t="shared" si="21"/>
        <v>0</v>
      </c>
      <c r="D79" s="47"/>
      <c r="E79" s="48">
        <f t="shared" ref="E79:E87" si="25">C79*(1-D79)</f>
        <v>0</v>
      </c>
      <c r="F79" s="58" t="s">
        <v>249</v>
      </c>
      <c r="G79" s="58" t="s">
        <v>249</v>
      </c>
      <c r="H79" s="51">
        <v>18122746.100000001</v>
      </c>
      <c r="I79" s="51">
        <v>2215934.4</v>
      </c>
      <c r="J79" s="189">
        <v>2276934.6</v>
      </c>
      <c r="K79" s="51">
        <v>12948830.699999999</v>
      </c>
      <c r="L79" s="51">
        <v>681046.4</v>
      </c>
      <c r="M79" s="51">
        <f t="shared" si="23"/>
        <v>18122746.099999998</v>
      </c>
      <c r="N79" s="51">
        <f t="shared" si="22"/>
        <v>0</v>
      </c>
      <c r="O79" s="53" t="s">
        <v>122</v>
      </c>
      <c r="P79" s="51" t="s">
        <v>111</v>
      </c>
      <c r="Q79" s="51" t="s">
        <v>111</v>
      </c>
      <c r="R79" s="51" t="s">
        <v>111</v>
      </c>
      <c r="S79" s="51" t="s">
        <v>111</v>
      </c>
      <c r="T79" s="51" t="s">
        <v>111</v>
      </c>
      <c r="U79" s="51" t="s">
        <v>111</v>
      </c>
      <c r="V79" s="51">
        <f t="shared" si="12"/>
        <v>0</v>
      </c>
      <c r="W79" s="51">
        <f t="shared" si="24"/>
        <v>18122746.099999998</v>
      </c>
      <c r="X79" s="51">
        <v>18229962.100000005</v>
      </c>
      <c r="Y79" s="51">
        <f t="shared" si="18"/>
        <v>107216.00000000745</v>
      </c>
      <c r="Z79" s="50" t="str">
        <f>'1.2'!F78</f>
        <v>887-ЗРТ</v>
      </c>
      <c r="AA79" s="58">
        <f>'1.1'!H78</f>
        <v>44910</v>
      </c>
      <c r="AB79" s="233">
        <v>7</v>
      </c>
      <c r="AC79" s="233" t="s">
        <v>111</v>
      </c>
      <c r="AD79" s="107" t="s">
        <v>639</v>
      </c>
      <c r="AE79" s="198" t="s">
        <v>111</v>
      </c>
      <c r="AF79" s="175"/>
      <c r="AG79" s="176"/>
      <c r="AH79" s="175"/>
      <c r="AI79" s="175"/>
      <c r="AJ79" s="175"/>
      <c r="AK79"/>
    </row>
    <row r="80" spans="1:37" s="30" customFormat="1" ht="15" customHeight="1">
      <c r="A80" s="107" t="s">
        <v>65</v>
      </c>
      <c r="B80" s="46" t="s">
        <v>418</v>
      </c>
      <c r="C80" s="47">
        <f t="shared" si="21"/>
        <v>2</v>
      </c>
      <c r="D80" s="47"/>
      <c r="E80" s="48">
        <f t="shared" si="25"/>
        <v>2</v>
      </c>
      <c r="F80" s="58" t="s">
        <v>239</v>
      </c>
      <c r="G80" s="58" t="s">
        <v>121</v>
      </c>
      <c r="H80" s="51">
        <v>20089522</v>
      </c>
      <c r="I80" s="51">
        <v>1619760</v>
      </c>
      <c r="J80" s="51">
        <v>5972468</v>
      </c>
      <c r="K80" s="51">
        <v>11766646</v>
      </c>
      <c r="L80" s="51">
        <v>730648</v>
      </c>
      <c r="M80" s="51">
        <f t="shared" si="23"/>
        <v>20089522</v>
      </c>
      <c r="N80" s="51">
        <f t="shared" si="22"/>
        <v>0</v>
      </c>
      <c r="O80" s="53" t="s">
        <v>121</v>
      </c>
      <c r="P80" s="51">
        <v>1536</v>
      </c>
      <c r="Q80" s="51" t="s">
        <v>111</v>
      </c>
      <c r="R80" s="51" t="s">
        <v>111</v>
      </c>
      <c r="S80" s="51">
        <v>601488</v>
      </c>
      <c r="T80" s="51" t="s">
        <v>111</v>
      </c>
      <c r="U80" s="51" t="s">
        <v>111</v>
      </c>
      <c r="V80" s="51">
        <f t="shared" si="12"/>
        <v>603024</v>
      </c>
      <c r="W80" s="51">
        <f t="shared" si="24"/>
        <v>20692546</v>
      </c>
      <c r="X80" s="51">
        <v>20692546</v>
      </c>
      <c r="Y80" s="51">
        <f t="shared" si="18"/>
        <v>0</v>
      </c>
      <c r="Z80" s="50" t="str">
        <f>'1.2'!F79</f>
        <v>110-ЗРХ</v>
      </c>
      <c r="AA80" s="58">
        <f>'1.1'!H79</f>
        <v>44914</v>
      </c>
      <c r="AB80" s="233" t="s">
        <v>583</v>
      </c>
      <c r="AC80" s="233" t="s">
        <v>111</v>
      </c>
      <c r="AD80" s="107" t="s">
        <v>111</v>
      </c>
      <c r="AE80" s="198"/>
      <c r="AF80" s="175"/>
      <c r="AG80" s="176"/>
      <c r="AH80" s="175"/>
      <c r="AI80" s="175"/>
      <c r="AJ80" s="175"/>
      <c r="AK80"/>
    </row>
    <row r="81" spans="1:37" ht="15" customHeight="1">
      <c r="A81" s="107" t="s">
        <v>66</v>
      </c>
      <c r="B81" s="46" t="s">
        <v>212</v>
      </c>
      <c r="C81" s="47">
        <f t="shared" si="21"/>
        <v>0</v>
      </c>
      <c r="D81" s="47"/>
      <c r="E81" s="48">
        <f t="shared" si="25"/>
        <v>0</v>
      </c>
      <c r="F81" s="58" t="s">
        <v>122</v>
      </c>
      <c r="G81" s="58" t="s">
        <v>122</v>
      </c>
      <c r="H81" s="51" t="s">
        <v>111</v>
      </c>
      <c r="I81" s="51">
        <v>2400000</v>
      </c>
      <c r="J81" s="51" t="s">
        <v>111</v>
      </c>
      <c r="K81" s="51">
        <v>85554.5</v>
      </c>
      <c r="L81" s="51" t="s">
        <v>111</v>
      </c>
      <c r="M81" s="51">
        <f t="shared" si="23"/>
        <v>2485554.5</v>
      </c>
      <c r="N81" s="51" t="s">
        <v>111</v>
      </c>
      <c r="O81" s="53" t="s">
        <v>122</v>
      </c>
      <c r="P81" s="51" t="s">
        <v>111</v>
      </c>
      <c r="Q81" s="51" t="s">
        <v>111</v>
      </c>
      <c r="R81" s="51" t="s">
        <v>111</v>
      </c>
      <c r="S81" s="51" t="s">
        <v>111</v>
      </c>
      <c r="T81" s="51" t="s">
        <v>111</v>
      </c>
      <c r="U81" s="51" t="s">
        <v>111</v>
      </c>
      <c r="V81" s="51">
        <f t="shared" si="12"/>
        <v>0</v>
      </c>
      <c r="W81" s="51">
        <f t="shared" si="24"/>
        <v>2485554.5</v>
      </c>
      <c r="X81" s="51">
        <v>53142504.800000012</v>
      </c>
      <c r="Y81" s="51">
        <f>X81-W81</f>
        <v>50656950.300000012</v>
      </c>
      <c r="Z81" s="50" t="str">
        <f>'1.2'!F80</f>
        <v>110-ЗС</v>
      </c>
      <c r="AA81" s="58">
        <f>'1.1'!H80</f>
        <v>44895</v>
      </c>
      <c r="AB81" s="233" t="s">
        <v>216</v>
      </c>
      <c r="AC81" s="233" t="s">
        <v>111</v>
      </c>
      <c r="AD81" s="107" t="s">
        <v>579</v>
      </c>
      <c r="AE81" s="198" t="s">
        <v>111</v>
      </c>
      <c r="AF81" s="175"/>
      <c r="AG81" s="176"/>
      <c r="AH81" s="175"/>
      <c r="AI81" s="175"/>
      <c r="AJ81" s="175"/>
    </row>
    <row r="82" spans="1:37" ht="15" customHeight="1">
      <c r="A82" s="107" t="s">
        <v>68</v>
      </c>
      <c r="B82" s="46" t="s">
        <v>419</v>
      </c>
      <c r="C82" s="47">
        <f t="shared" si="21"/>
        <v>1</v>
      </c>
      <c r="D82" s="47"/>
      <c r="E82" s="48">
        <f t="shared" si="25"/>
        <v>1</v>
      </c>
      <c r="F82" s="58" t="s">
        <v>232</v>
      </c>
      <c r="G82" s="58" t="s">
        <v>121</v>
      </c>
      <c r="H82" s="51" t="s">
        <v>111</v>
      </c>
      <c r="I82" s="51">
        <v>30356274.399999999</v>
      </c>
      <c r="J82" s="51">
        <v>22088011.399999999</v>
      </c>
      <c r="K82" s="51">
        <v>67064844.299999997</v>
      </c>
      <c r="L82" s="51">
        <v>6285573.4000000004</v>
      </c>
      <c r="M82" s="51">
        <f t="shared" si="23"/>
        <v>125794703.5</v>
      </c>
      <c r="N82" s="51" t="s">
        <v>111</v>
      </c>
      <c r="O82" s="53" t="s">
        <v>122</v>
      </c>
      <c r="P82" s="51" t="s">
        <v>111</v>
      </c>
      <c r="Q82" s="51" t="s">
        <v>111</v>
      </c>
      <c r="R82" s="51" t="s">
        <v>111</v>
      </c>
      <c r="S82" s="51" t="s">
        <v>111</v>
      </c>
      <c r="T82" s="51" t="s">
        <v>111</v>
      </c>
      <c r="U82" s="51" t="s">
        <v>111</v>
      </c>
      <c r="V82" s="51">
        <f t="shared" si="12"/>
        <v>0</v>
      </c>
      <c r="W82" s="51">
        <f t="shared" si="24"/>
        <v>125794703.5</v>
      </c>
      <c r="X82" s="51">
        <v>134244200.59999999</v>
      </c>
      <c r="Y82" s="51">
        <f t="shared" si="18"/>
        <v>8449497.099999994</v>
      </c>
      <c r="Z82" s="50" t="str">
        <f>'1.2'!F81</f>
        <v>4-1351</v>
      </c>
      <c r="AA82" s="58">
        <f>'1.1'!H81</f>
        <v>44915</v>
      </c>
      <c r="AB82" s="233" t="s">
        <v>441</v>
      </c>
      <c r="AC82" s="233" t="s">
        <v>111</v>
      </c>
      <c r="AD82" s="107" t="s">
        <v>612</v>
      </c>
      <c r="AE82" s="198" t="s">
        <v>111</v>
      </c>
      <c r="AF82" s="175"/>
      <c r="AG82" s="176"/>
      <c r="AH82" s="175"/>
      <c r="AI82" s="175"/>
      <c r="AJ82" s="175"/>
    </row>
    <row r="83" spans="1:37" s="7" customFormat="1" ht="15" customHeight="1">
      <c r="A83" s="107" t="s">
        <v>69</v>
      </c>
      <c r="B83" s="46" t="s">
        <v>418</v>
      </c>
      <c r="C83" s="47">
        <f t="shared" si="21"/>
        <v>2</v>
      </c>
      <c r="D83" s="47"/>
      <c r="E83" s="48">
        <f t="shared" si="25"/>
        <v>2</v>
      </c>
      <c r="F83" s="58" t="s">
        <v>239</v>
      </c>
      <c r="G83" s="58" t="s">
        <v>121</v>
      </c>
      <c r="H83" s="51">
        <v>108870769.40000001</v>
      </c>
      <c r="I83" s="51">
        <v>6557741.9000000004</v>
      </c>
      <c r="J83" s="51">
        <v>40552855.299999997</v>
      </c>
      <c r="K83" s="51">
        <v>57137752</v>
      </c>
      <c r="L83" s="51">
        <v>4622420.2</v>
      </c>
      <c r="M83" s="51">
        <f t="shared" si="23"/>
        <v>108870769.39999999</v>
      </c>
      <c r="N83" s="51">
        <f t="shared" si="22"/>
        <v>0</v>
      </c>
      <c r="O83" s="58" t="s">
        <v>121</v>
      </c>
      <c r="P83" s="51">
        <v>2209</v>
      </c>
      <c r="Q83" s="51" t="s">
        <v>111</v>
      </c>
      <c r="R83" s="51" t="s">
        <v>111</v>
      </c>
      <c r="S83" s="51">
        <v>6436547.9000000004</v>
      </c>
      <c r="T83" s="51" t="s">
        <v>111</v>
      </c>
      <c r="U83" s="51" t="s">
        <v>111</v>
      </c>
      <c r="V83" s="51">
        <f t="shared" si="12"/>
        <v>6438756.9000000004</v>
      </c>
      <c r="W83" s="51">
        <f t="shared" si="24"/>
        <v>115309526.3</v>
      </c>
      <c r="X83" s="51">
        <v>115309526.30000003</v>
      </c>
      <c r="Y83" s="51">
        <f t="shared" si="18"/>
        <v>0</v>
      </c>
      <c r="Z83" s="50" t="str">
        <f>'1.2'!F82</f>
        <v>112-ОЗ</v>
      </c>
      <c r="AA83" s="58">
        <f>'1.1'!H82</f>
        <v>44907</v>
      </c>
      <c r="AB83" s="233">
        <v>10</v>
      </c>
      <c r="AC83" s="233" t="s">
        <v>111</v>
      </c>
      <c r="AD83" s="107" t="s">
        <v>111</v>
      </c>
      <c r="AE83" s="212"/>
      <c r="AF83" s="180"/>
      <c r="AG83" s="180"/>
      <c r="AH83" s="180"/>
      <c r="AI83" s="180"/>
      <c r="AJ83" s="180"/>
      <c r="AK83"/>
    </row>
    <row r="84" spans="1:37" s="30" customFormat="1" ht="15" customHeight="1">
      <c r="A84" s="107" t="s">
        <v>552</v>
      </c>
      <c r="B84" s="46" t="s">
        <v>418</v>
      </c>
      <c r="C84" s="47">
        <f t="shared" si="21"/>
        <v>2</v>
      </c>
      <c r="D84" s="47"/>
      <c r="E84" s="48">
        <f t="shared" si="25"/>
        <v>2</v>
      </c>
      <c r="F84" s="58" t="s">
        <v>239</v>
      </c>
      <c r="G84" s="58" t="s">
        <v>121</v>
      </c>
      <c r="H84" s="51">
        <v>122191488.3</v>
      </c>
      <c r="I84" s="51">
        <v>18085035</v>
      </c>
      <c r="J84" s="51">
        <v>34879664.799999997</v>
      </c>
      <c r="K84" s="51">
        <v>61563041.299999997</v>
      </c>
      <c r="L84" s="51">
        <v>7663747.2000000002</v>
      </c>
      <c r="M84" s="51">
        <f t="shared" si="23"/>
        <v>122191488.3</v>
      </c>
      <c r="N84" s="51">
        <f t="shared" si="22"/>
        <v>0</v>
      </c>
      <c r="O84" s="53" t="s">
        <v>121</v>
      </c>
      <c r="P84" s="51">
        <v>5342.9</v>
      </c>
      <c r="Q84" s="51" t="s">
        <v>111</v>
      </c>
      <c r="R84" s="51" t="s">
        <v>111</v>
      </c>
      <c r="S84" s="51">
        <v>3746298.6</v>
      </c>
      <c r="T84" s="51">
        <v>229400</v>
      </c>
      <c r="U84" s="51" t="s">
        <v>111</v>
      </c>
      <c r="V84" s="51">
        <f t="shared" si="12"/>
        <v>3981041.5</v>
      </c>
      <c r="W84" s="51">
        <f t="shared" si="24"/>
        <v>126172529.8</v>
      </c>
      <c r="X84" s="51">
        <v>126172529.8</v>
      </c>
      <c r="Y84" s="51">
        <f t="shared" si="18"/>
        <v>0</v>
      </c>
      <c r="Z84" s="50" t="str">
        <f>'1.2'!F83</f>
        <v>145-ОЗ</v>
      </c>
      <c r="AA84" s="58">
        <f>'1.1'!H83</f>
        <v>44910</v>
      </c>
      <c r="AB84" s="233">
        <v>9</v>
      </c>
      <c r="AC84" s="233" t="s">
        <v>111</v>
      </c>
      <c r="AD84" s="107" t="s">
        <v>111</v>
      </c>
      <c r="AE84" s="212"/>
      <c r="AF84" s="180"/>
      <c r="AG84" s="180"/>
      <c r="AH84" s="180"/>
      <c r="AI84" s="180"/>
      <c r="AJ84" s="180"/>
      <c r="AK84"/>
    </row>
    <row r="85" spans="1:37" ht="15" customHeight="1">
      <c r="A85" s="107" t="s">
        <v>70</v>
      </c>
      <c r="B85" s="46" t="s">
        <v>419</v>
      </c>
      <c r="C85" s="47">
        <f t="shared" si="21"/>
        <v>1</v>
      </c>
      <c r="D85" s="47"/>
      <c r="E85" s="48">
        <f t="shared" si="25"/>
        <v>1</v>
      </c>
      <c r="F85" s="58" t="s">
        <v>232</v>
      </c>
      <c r="G85" s="58" t="s">
        <v>121</v>
      </c>
      <c r="H85" s="51" t="s">
        <v>111</v>
      </c>
      <c r="I85" s="51">
        <v>4324552.4000000004</v>
      </c>
      <c r="J85" s="51">
        <v>55563815.200000003</v>
      </c>
      <c r="K85" s="51">
        <v>53259834.5</v>
      </c>
      <c r="L85" s="51">
        <v>5623895.2000000002</v>
      </c>
      <c r="M85" s="51">
        <f t="shared" si="23"/>
        <v>118772097.3</v>
      </c>
      <c r="N85" s="51" t="s">
        <v>111</v>
      </c>
      <c r="O85" s="53" t="s">
        <v>122</v>
      </c>
      <c r="P85" s="51">
        <v>4393.3</v>
      </c>
      <c r="Q85" s="51" t="s">
        <v>111</v>
      </c>
      <c r="R85" s="51"/>
      <c r="S85" s="51">
        <f>2558592.3+3226180.3</f>
        <v>5784772.5999999996</v>
      </c>
      <c r="T85" s="51" t="s">
        <v>111</v>
      </c>
      <c r="U85" s="51" t="s">
        <v>111</v>
      </c>
      <c r="V85" s="51">
        <f t="shared" si="12"/>
        <v>5789165.8999999994</v>
      </c>
      <c r="W85" s="51">
        <f t="shared" si="24"/>
        <v>124561263.2</v>
      </c>
      <c r="X85" s="51">
        <v>124589263.39999995</v>
      </c>
      <c r="Y85" s="51">
        <f t="shared" si="18"/>
        <v>28000.199999943376</v>
      </c>
      <c r="Z85" s="50" t="str">
        <f>'1.2'!F84</f>
        <v>307-ОЗ</v>
      </c>
      <c r="AA85" s="58">
        <f>'1.1'!H84</f>
        <v>44918</v>
      </c>
      <c r="AB85" s="233" t="s">
        <v>584</v>
      </c>
      <c r="AC85" s="233" t="s">
        <v>111</v>
      </c>
      <c r="AD85" s="107" t="s">
        <v>600</v>
      </c>
      <c r="AE85" s="212" t="s">
        <v>111</v>
      </c>
      <c r="AF85" s="180"/>
      <c r="AG85" s="180"/>
      <c r="AH85" s="180"/>
      <c r="AI85" s="180"/>
      <c r="AJ85" s="180"/>
    </row>
    <row r="86" spans="1:37" ht="15" customHeight="1">
      <c r="A86" s="107" t="s">
        <v>71</v>
      </c>
      <c r="B86" s="46" t="s">
        <v>418</v>
      </c>
      <c r="C86" s="47">
        <f t="shared" si="21"/>
        <v>2</v>
      </c>
      <c r="D86" s="47"/>
      <c r="E86" s="48">
        <f t="shared" si="25"/>
        <v>2</v>
      </c>
      <c r="F86" s="58" t="s">
        <v>239</v>
      </c>
      <c r="G86" s="58" t="s">
        <v>121</v>
      </c>
      <c r="H86" s="51" t="s">
        <v>111</v>
      </c>
      <c r="I86" s="51">
        <f>(7533194723-4719387039+841330105+250000)/1000</f>
        <v>3655387.7889999999</v>
      </c>
      <c r="J86" s="51">
        <f>11862299855.79/1000</f>
        <v>11862299.85579</v>
      </c>
      <c r="K86" s="51">
        <f>18644851031.11/1000</f>
        <v>18644851.03111</v>
      </c>
      <c r="L86" s="51">
        <f>1170972790/1000</f>
        <v>1170972.79</v>
      </c>
      <c r="M86" s="51">
        <f t="shared" si="23"/>
        <v>35333511.465899996</v>
      </c>
      <c r="N86" s="51" t="s">
        <v>111</v>
      </c>
      <c r="O86" s="53" t="s">
        <v>121</v>
      </c>
      <c r="P86" s="51">
        <f>2195100/1000</f>
        <v>2195.1</v>
      </c>
      <c r="Q86" s="51" t="s">
        <v>111</v>
      </c>
      <c r="R86" s="51" t="s">
        <v>111</v>
      </c>
      <c r="S86" s="51">
        <f>(1437894126.24+25000000)/1000</f>
        <v>1462894.1262399999</v>
      </c>
      <c r="T86" s="51" t="s">
        <v>111</v>
      </c>
      <c r="U86" s="51" t="s">
        <v>111</v>
      </c>
      <c r="V86" s="51">
        <f t="shared" si="12"/>
        <v>1465089.22624</v>
      </c>
      <c r="W86" s="51">
        <f t="shared" si="24"/>
        <v>36798600.692139998</v>
      </c>
      <c r="X86" s="51">
        <v>36798600.692140006</v>
      </c>
      <c r="Y86" s="51">
        <f t="shared" si="18"/>
        <v>0</v>
      </c>
      <c r="Z86" s="50" t="str">
        <f>'1.2'!F85</f>
        <v>2537-ОЗ</v>
      </c>
      <c r="AA86" s="58">
        <f>'1.1'!H85</f>
        <v>44917</v>
      </c>
      <c r="AB86" s="233">
        <v>9</v>
      </c>
      <c r="AC86" s="233" t="s">
        <v>111</v>
      </c>
      <c r="AD86" s="107" t="s">
        <v>601</v>
      </c>
      <c r="AE86" s="212" t="s">
        <v>111</v>
      </c>
      <c r="AF86" s="180"/>
      <c r="AG86" s="180"/>
      <c r="AH86" s="180"/>
      <c r="AI86" s="180"/>
      <c r="AJ86" s="180"/>
    </row>
    <row r="87" spans="1:37" s="30" customFormat="1" ht="15" customHeight="1">
      <c r="A87" s="107" t="s">
        <v>72</v>
      </c>
      <c r="B87" s="46" t="s">
        <v>419</v>
      </c>
      <c r="C87" s="47">
        <f t="shared" si="21"/>
        <v>1</v>
      </c>
      <c r="D87" s="47"/>
      <c r="E87" s="48">
        <f t="shared" si="25"/>
        <v>1</v>
      </c>
      <c r="F87" s="58" t="s">
        <v>232</v>
      </c>
      <c r="G87" s="58" t="s">
        <v>121</v>
      </c>
      <c r="H87" s="51">
        <v>38627910.5</v>
      </c>
      <c r="I87" s="51">
        <v>6633199.2999999998</v>
      </c>
      <c r="J87" s="51">
        <v>12985571.4</v>
      </c>
      <c r="K87" s="51">
        <v>16428667.800000001</v>
      </c>
      <c r="L87" s="51">
        <v>2580472</v>
      </c>
      <c r="M87" s="51">
        <f t="shared" si="23"/>
        <v>38627910.5</v>
      </c>
      <c r="N87" s="51">
        <f t="shared" si="22"/>
        <v>0</v>
      </c>
      <c r="O87" s="53" t="s">
        <v>122</v>
      </c>
      <c r="P87" s="51">
        <v>6593.7</v>
      </c>
      <c r="Q87" s="51"/>
      <c r="R87" s="51"/>
      <c r="S87" s="51" t="s">
        <v>111</v>
      </c>
      <c r="T87" s="51" t="s">
        <v>111</v>
      </c>
      <c r="U87" s="51" t="s">
        <v>111</v>
      </c>
      <c r="V87" s="51">
        <f t="shared" si="12"/>
        <v>6593.7</v>
      </c>
      <c r="W87" s="51">
        <f t="shared" si="24"/>
        <v>38634504.200000003</v>
      </c>
      <c r="X87" s="51">
        <v>39798086.199999988</v>
      </c>
      <c r="Y87" s="51">
        <f t="shared" si="18"/>
        <v>1163581.9999999851</v>
      </c>
      <c r="Z87" s="50" t="str">
        <f>'1.2'!F86</f>
        <v>141-ОЗ</v>
      </c>
      <c r="AA87" s="58">
        <f>'1.1'!H86</f>
        <v>44923</v>
      </c>
      <c r="AB87" s="233" t="s">
        <v>450</v>
      </c>
      <c r="AC87" s="233" t="s">
        <v>215</v>
      </c>
      <c r="AD87" s="107" t="s">
        <v>602</v>
      </c>
      <c r="AE87" s="212" t="s">
        <v>111</v>
      </c>
      <c r="AF87" s="180"/>
      <c r="AG87" s="180"/>
      <c r="AH87" s="180"/>
      <c r="AI87" s="180"/>
      <c r="AJ87" s="180"/>
      <c r="AK87"/>
    </row>
    <row r="88" spans="1:37" ht="15" customHeight="1">
      <c r="A88" s="120" t="s">
        <v>73</v>
      </c>
      <c r="B88" s="43"/>
      <c r="C88" s="43"/>
      <c r="D88" s="43"/>
      <c r="E88" s="43"/>
      <c r="F88" s="59"/>
      <c r="G88" s="59"/>
      <c r="H88" s="56"/>
      <c r="I88" s="56"/>
      <c r="J88" s="56"/>
      <c r="K88" s="56"/>
      <c r="L88" s="56"/>
      <c r="M88" s="56"/>
      <c r="N88" s="56"/>
      <c r="O88" s="56"/>
      <c r="P88" s="56"/>
      <c r="Q88" s="56"/>
      <c r="R88" s="56"/>
      <c r="S88" s="56"/>
      <c r="T88" s="56"/>
      <c r="U88" s="56"/>
      <c r="V88" s="56"/>
      <c r="W88" s="56"/>
      <c r="X88" s="56"/>
      <c r="Y88" s="56"/>
      <c r="Z88" s="239"/>
      <c r="AA88" s="59"/>
      <c r="AB88" s="45"/>
      <c r="AC88" s="45"/>
      <c r="AD88" s="142"/>
      <c r="AE88" s="212"/>
      <c r="AF88" s="180"/>
      <c r="AG88" s="180"/>
      <c r="AH88" s="180"/>
      <c r="AI88" s="180"/>
      <c r="AJ88" s="180"/>
    </row>
    <row r="89" spans="1:37" s="30" customFormat="1" ht="15" customHeight="1">
      <c r="A89" s="107" t="s">
        <v>63</v>
      </c>
      <c r="B89" s="46" t="s">
        <v>419</v>
      </c>
      <c r="C89" s="47">
        <f t="shared" si="21"/>
        <v>1</v>
      </c>
      <c r="D89" s="47"/>
      <c r="E89" s="48">
        <f t="shared" ref="E89:E99" si="26">C89*(1-D89)</f>
        <v>1</v>
      </c>
      <c r="F89" s="58" t="s">
        <v>232</v>
      </c>
      <c r="G89" s="58" t="s">
        <v>121</v>
      </c>
      <c r="H89" s="51">
        <v>44914923.600000001</v>
      </c>
      <c r="I89" s="51">
        <v>3250508.4</v>
      </c>
      <c r="J89" s="51">
        <v>25362062.600000001</v>
      </c>
      <c r="K89" s="51">
        <v>12817603.4</v>
      </c>
      <c r="L89" s="51">
        <v>3484749.5</v>
      </c>
      <c r="M89" s="51">
        <f t="shared" si="23"/>
        <v>44914923.899999999</v>
      </c>
      <c r="N89" s="51">
        <f t="shared" si="22"/>
        <v>-0.29999999701976776</v>
      </c>
      <c r="O89" s="53" t="s">
        <v>122</v>
      </c>
      <c r="P89" s="51" t="s">
        <v>111</v>
      </c>
      <c r="Q89" s="51" t="s">
        <v>111</v>
      </c>
      <c r="R89" s="51" t="s">
        <v>111</v>
      </c>
      <c r="S89" s="51" t="s">
        <v>111</v>
      </c>
      <c r="T89" s="51" t="s">
        <v>111</v>
      </c>
      <c r="U89" s="51" t="s">
        <v>111</v>
      </c>
      <c r="V89" s="51">
        <f t="shared" si="12"/>
        <v>0</v>
      </c>
      <c r="W89" s="51">
        <f t="shared" si="24"/>
        <v>44914923.899999999</v>
      </c>
      <c r="X89" s="51">
        <v>44968923.599999979</v>
      </c>
      <c r="Y89" s="51">
        <f t="shared" si="18"/>
        <v>53999.699999980628</v>
      </c>
      <c r="Z89" s="50" t="str">
        <f>'1.2'!F88</f>
        <v>2487-VI</v>
      </c>
      <c r="AA89" s="58">
        <f>'1.1'!H88</f>
        <v>44916</v>
      </c>
      <c r="AB89" s="233">
        <v>6</v>
      </c>
      <c r="AC89" s="233" t="s">
        <v>111</v>
      </c>
      <c r="AD89" s="107" t="s">
        <v>608</v>
      </c>
      <c r="AE89" s="212" t="s">
        <v>111</v>
      </c>
      <c r="AF89" s="180"/>
      <c r="AG89" s="180"/>
      <c r="AH89" s="180"/>
      <c r="AI89" s="180"/>
      <c r="AJ89" s="180"/>
      <c r="AK89"/>
    </row>
    <row r="90" spans="1:37" s="30" customFormat="1" ht="15" customHeight="1">
      <c r="A90" s="107" t="s">
        <v>74</v>
      </c>
      <c r="B90" s="46" t="s">
        <v>212</v>
      </c>
      <c r="C90" s="47">
        <f t="shared" si="21"/>
        <v>0</v>
      </c>
      <c r="D90" s="47"/>
      <c r="E90" s="48">
        <f t="shared" si="26"/>
        <v>0</v>
      </c>
      <c r="F90" s="58" t="s">
        <v>249</v>
      </c>
      <c r="G90" s="58" t="s">
        <v>249</v>
      </c>
      <c r="H90" s="189">
        <v>102358696.8</v>
      </c>
      <c r="I90" s="189">
        <f>25097818.3+699999.6</f>
        <v>25797817.900000002</v>
      </c>
      <c r="J90" s="189">
        <v>9522594.6999999993</v>
      </c>
      <c r="K90" s="189">
        <v>63681769.200000003</v>
      </c>
      <c r="L90" s="189">
        <v>3356515</v>
      </c>
      <c r="M90" s="51">
        <f t="shared" si="23"/>
        <v>102358696.80000001</v>
      </c>
      <c r="N90" s="51">
        <f t="shared" si="22"/>
        <v>0</v>
      </c>
      <c r="O90" s="53" t="s">
        <v>111</v>
      </c>
      <c r="P90" s="51">
        <v>3150</v>
      </c>
      <c r="Q90" s="51" t="s">
        <v>111</v>
      </c>
      <c r="R90" s="51"/>
      <c r="S90" s="51">
        <v>20117</v>
      </c>
      <c r="T90" s="51">
        <v>1577801.1</v>
      </c>
      <c r="U90" s="51" t="s">
        <v>111</v>
      </c>
      <c r="V90" s="51">
        <f t="shared" si="12"/>
        <v>1601068.1</v>
      </c>
      <c r="W90" s="51">
        <f t="shared" si="24"/>
        <v>103959764.90000001</v>
      </c>
      <c r="X90" s="51">
        <v>103959763</v>
      </c>
      <c r="Y90" s="51">
        <f t="shared" si="18"/>
        <v>-1.9000000059604645</v>
      </c>
      <c r="Z90" s="50" t="str">
        <f>'1.2'!F89</f>
        <v>1015-VI</v>
      </c>
      <c r="AA90" s="58">
        <f>'1.1'!H89</f>
        <v>44904</v>
      </c>
      <c r="AB90" s="233">
        <v>7</v>
      </c>
      <c r="AC90" s="233" t="s">
        <v>111</v>
      </c>
      <c r="AD90" s="107" t="s">
        <v>629</v>
      </c>
      <c r="AE90" s="212" t="s">
        <v>111</v>
      </c>
      <c r="AF90" s="180"/>
      <c r="AG90" s="180"/>
      <c r="AH90" s="180"/>
      <c r="AI90" s="180"/>
      <c r="AJ90" s="180"/>
      <c r="AK90"/>
    </row>
    <row r="91" spans="1:37" s="30" customFormat="1" ht="15" customHeight="1">
      <c r="A91" s="107" t="s">
        <v>67</v>
      </c>
      <c r="B91" s="46" t="s">
        <v>418</v>
      </c>
      <c r="C91" s="47">
        <f t="shared" si="21"/>
        <v>2</v>
      </c>
      <c r="D91" s="47"/>
      <c r="E91" s="48">
        <f t="shared" si="26"/>
        <v>2</v>
      </c>
      <c r="F91" s="58" t="s">
        <v>239</v>
      </c>
      <c r="G91" s="58" t="s">
        <v>121</v>
      </c>
      <c r="H91" s="51">
        <v>32980297.399999999</v>
      </c>
      <c r="I91" s="51">
        <v>6545995</v>
      </c>
      <c r="J91" s="51">
        <v>5638952.5999999996</v>
      </c>
      <c r="K91" s="51">
        <v>14451524.699999999</v>
      </c>
      <c r="L91" s="51">
        <v>6343825.0999999996</v>
      </c>
      <c r="M91" s="51">
        <f t="shared" si="23"/>
        <v>32980297.399999999</v>
      </c>
      <c r="N91" s="51">
        <f t="shared" si="22"/>
        <v>0</v>
      </c>
      <c r="O91" s="53" t="s">
        <v>121</v>
      </c>
      <c r="P91" s="51">
        <v>4597.1000000000004</v>
      </c>
      <c r="Q91" s="51" t="s">
        <v>111</v>
      </c>
      <c r="R91" s="51" t="s">
        <v>111</v>
      </c>
      <c r="S91" s="51">
        <f>7200+606311+764509.7</f>
        <v>1378020.7</v>
      </c>
      <c r="T91" s="51" t="s">
        <v>111</v>
      </c>
      <c r="U91" s="51" t="s">
        <v>111</v>
      </c>
      <c r="V91" s="51">
        <f t="shared" si="12"/>
        <v>1382617.8</v>
      </c>
      <c r="W91" s="51">
        <f t="shared" si="24"/>
        <v>34362915.199999996</v>
      </c>
      <c r="X91" s="51">
        <v>34362915.199999996</v>
      </c>
      <c r="Y91" s="51">
        <f t="shared" si="18"/>
        <v>0</v>
      </c>
      <c r="Z91" s="50" t="str">
        <f>'1.2'!F90</f>
        <v>2134-ЗЗК</v>
      </c>
      <c r="AA91" s="58">
        <f>'1.1'!H90</f>
        <v>44917</v>
      </c>
      <c r="AB91" s="233">
        <v>9</v>
      </c>
      <c r="AC91" s="233" t="s">
        <v>585</v>
      </c>
      <c r="AD91" s="107" t="s">
        <v>111</v>
      </c>
      <c r="AE91" s="212" t="s">
        <v>111</v>
      </c>
      <c r="AF91" s="180"/>
      <c r="AG91" s="180"/>
      <c r="AH91" s="180"/>
      <c r="AI91" s="180"/>
      <c r="AJ91" s="180"/>
      <c r="AK91"/>
    </row>
    <row r="92" spans="1:37" s="30" customFormat="1" ht="15" customHeight="1">
      <c r="A92" s="107" t="s">
        <v>75</v>
      </c>
      <c r="B92" s="46" t="s">
        <v>419</v>
      </c>
      <c r="C92" s="47">
        <f t="shared" si="21"/>
        <v>1</v>
      </c>
      <c r="D92" s="47"/>
      <c r="E92" s="48">
        <f t="shared" si="26"/>
        <v>1</v>
      </c>
      <c r="F92" s="58" t="s">
        <v>232</v>
      </c>
      <c r="G92" s="58" t="s">
        <v>121</v>
      </c>
      <c r="H92" s="51">
        <v>23809655.488620002</v>
      </c>
      <c r="I92" s="51">
        <f>1589583+1017218.688</f>
        <v>2606801.6880000001</v>
      </c>
      <c r="J92" s="51">
        <v>5808307.3542999998</v>
      </c>
      <c r="K92" s="51">
        <v>14283348.24632</v>
      </c>
      <c r="L92" s="51">
        <v>1111198.2</v>
      </c>
      <c r="M92" s="51">
        <f t="shared" si="23"/>
        <v>23809655.488620002</v>
      </c>
      <c r="N92" s="51">
        <f t="shared" si="22"/>
        <v>0</v>
      </c>
      <c r="O92" s="53" t="s">
        <v>122</v>
      </c>
      <c r="P92" s="51" t="s">
        <v>111</v>
      </c>
      <c r="Q92" s="51" t="s">
        <v>111</v>
      </c>
      <c r="R92" s="51" t="s">
        <v>111</v>
      </c>
      <c r="S92" s="51" t="s">
        <v>111</v>
      </c>
      <c r="T92" s="51" t="s">
        <v>111</v>
      </c>
      <c r="U92" s="51" t="s">
        <v>111</v>
      </c>
      <c r="V92" s="51">
        <f t="shared" si="12"/>
        <v>0</v>
      </c>
      <c r="W92" s="51">
        <f t="shared" si="24"/>
        <v>23809655.488620002</v>
      </c>
      <c r="X92" s="51">
        <v>23814713.488619991</v>
      </c>
      <c r="Y92" s="51">
        <f t="shared" si="18"/>
        <v>5057.9999999888241</v>
      </c>
      <c r="Z92" s="50">
        <f>'1.2'!F91</f>
        <v>155</v>
      </c>
      <c r="AA92" s="58">
        <f>'1.1'!H91</f>
        <v>44894</v>
      </c>
      <c r="AB92" s="233">
        <v>6</v>
      </c>
      <c r="AC92" s="233" t="s">
        <v>111</v>
      </c>
      <c r="AD92" s="107" t="s">
        <v>613</v>
      </c>
      <c r="AE92" s="212" t="s">
        <v>111</v>
      </c>
      <c r="AF92" s="180"/>
      <c r="AG92" s="180"/>
      <c r="AH92" s="180"/>
      <c r="AI92" s="180"/>
      <c r="AJ92" s="180"/>
      <c r="AK92"/>
    </row>
    <row r="93" spans="1:37" ht="15" customHeight="1">
      <c r="A93" s="107" t="s">
        <v>553</v>
      </c>
      <c r="B93" s="46" t="s">
        <v>418</v>
      </c>
      <c r="C93" s="47">
        <f t="shared" si="21"/>
        <v>2</v>
      </c>
      <c r="D93" s="47"/>
      <c r="E93" s="48">
        <f t="shared" si="26"/>
        <v>2</v>
      </c>
      <c r="F93" s="58" t="s">
        <v>239</v>
      </c>
      <c r="G93" s="58" t="s">
        <v>121</v>
      </c>
      <c r="H93" s="51">
        <f>52965470807.41/1000</f>
        <v>52965470.807410002</v>
      </c>
      <c r="I93" s="51">
        <f>5017082162.13/1000</f>
        <v>5017082.1621300001</v>
      </c>
      <c r="J93" s="51">
        <f>17336515179.58/1000</f>
        <v>17336515.179580003</v>
      </c>
      <c r="K93" s="51">
        <f>28182210447.33/1000</f>
        <v>28182210.447330002</v>
      </c>
      <c r="L93" s="51">
        <f>2429663018.37/1000</f>
        <v>2429663.0183699997</v>
      </c>
      <c r="M93" s="51">
        <f t="shared" si="23"/>
        <v>52965470.807410002</v>
      </c>
      <c r="N93" s="51">
        <f t="shared" si="22"/>
        <v>0</v>
      </c>
      <c r="O93" s="53" t="s">
        <v>121</v>
      </c>
      <c r="P93" s="51">
        <v>3000</v>
      </c>
      <c r="Q93" s="51" t="s">
        <v>111</v>
      </c>
      <c r="R93" s="51" t="s">
        <v>111</v>
      </c>
      <c r="S93" s="51">
        <f>(1131246900+1426411900+25000000)/1000</f>
        <v>2582658.7999999998</v>
      </c>
      <c r="T93" s="51">
        <v>216000</v>
      </c>
      <c r="U93" s="51" t="s">
        <v>111</v>
      </c>
      <c r="V93" s="51">
        <f t="shared" si="12"/>
        <v>2801658.8</v>
      </c>
      <c r="W93" s="51">
        <f t="shared" si="24"/>
        <v>55767129.607409999</v>
      </c>
      <c r="X93" s="51">
        <v>55767129.607410021</v>
      </c>
      <c r="Y93" s="51">
        <f t="shared" si="18"/>
        <v>0</v>
      </c>
      <c r="Z93" s="50" t="str">
        <f>'1.2'!F92</f>
        <v>253-КЗ</v>
      </c>
      <c r="AA93" s="58">
        <f>'1.1'!H92</f>
        <v>44915</v>
      </c>
      <c r="AB93" s="233" t="s">
        <v>293</v>
      </c>
      <c r="AC93" s="233" t="s">
        <v>111</v>
      </c>
      <c r="AD93" s="107" t="s">
        <v>111</v>
      </c>
      <c r="AE93" s="212" t="s">
        <v>111</v>
      </c>
      <c r="AF93" s="180"/>
      <c r="AG93" s="180"/>
      <c r="AH93" s="180"/>
      <c r="AI93" s="180"/>
      <c r="AJ93" s="180"/>
    </row>
    <row r="94" spans="1:37" ht="15" customHeight="1">
      <c r="A94" s="107" t="s">
        <v>76</v>
      </c>
      <c r="B94" s="46" t="s">
        <v>418</v>
      </c>
      <c r="C94" s="47">
        <f t="shared" si="21"/>
        <v>2</v>
      </c>
      <c r="D94" s="47"/>
      <c r="E94" s="48">
        <f t="shared" si="26"/>
        <v>2</v>
      </c>
      <c r="F94" s="58" t="s">
        <v>239</v>
      </c>
      <c r="G94" s="58" t="s">
        <v>121</v>
      </c>
      <c r="H94" s="51">
        <v>36182493.770000003</v>
      </c>
      <c r="I94" s="51">
        <v>5802728.8399999999</v>
      </c>
      <c r="J94" s="51">
        <v>6671181.5300000003</v>
      </c>
      <c r="K94" s="51">
        <v>23370620.440000001</v>
      </c>
      <c r="L94" s="51">
        <v>337962.96</v>
      </c>
      <c r="M94" s="51">
        <f t="shared" si="23"/>
        <v>36182493.770000003</v>
      </c>
      <c r="N94" s="51">
        <f t="shared" si="22"/>
        <v>0</v>
      </c>
      <c r="O94" s="53" t="s">
        <v>121</v>
      </c>
      <c r="P94" s="51">
        <v>2674.4</v>
      </c>
      <c r="Q94" s="51" t="s">
        <v>111</v>
      </c>
      <c r="R94" s="51" t="s">
        <v>111</v>
      </c>
      <c r="S94" s="51">
        <f>6100+2247425.4</f>
        <v>2253525.4</v>
      </c>
      <c r="T94" s="51" t="s">
        <v>111</v>
      </c>
      <c r="U94" s="51" t="s">
        <v>111</v>
      </c>
      <c r="V94" s="51">
        <f t="shared" si="12"/>
        <v>2256199.7999999998</v>
      </c>
      <c r="W94" s="51">
        <f t="shared" si="24"/>
        <v>38438693.57</v>
      </c>
      <c r="X94" s="51">
        <v>38438693.57</v>
      </c>
      <c r="Y94" s="51">
        <f t="shared" si="18"/>
        <v>0</v>
      </c>
      <c r="Z94" s="50">
        <f>'1.2'!F93</f>
        <v>334</v>
      </c>
      <c r="AA94" s="58">
        <f>'1.1'!H93</f>
        <v>44886</v>
      </c>
      <c r="AB94" s="233">
        <v>6</v>
      </c>
      <c r="AC94" s="233">
        <v>11</v>
      </c>
      <c r="AD94" s="107" t="s">
        <v>111</v>
      </c>
      <c r="AE94" s="212" t="s">
        <v>111</v>
      </c>
      <c r="AF94" s="180"/>
      <c r="AG94" s="180"/>
      <c r="AH94" s="180"/>
      <c r="AI94" s="180"/>
      <c r="AJ94" s="180"/>
    </row>
    <row r="95" spans="1:37" ht="15" customHeight="1">
      <c r="A95" s="107" t="s">
        <v>77</v>
      </c>
      <c r="B95" s="46" t="s">
        <v>419</v>
      </c>
      <c r="C95" s="47">
        <f t="shared" si="21"/>
        <v>1</v>
      </c>
      <c r="D95" s="47"/>
      <c r="E95" s="48">
        <f t="shared" si="26"/>
        <v>1</v>
      </c>
      <c r="F95" s="58" t="s">
        <v>232</v>
      </c>
      <c r="G95" s="58" t="s">
        <v>121</v>
      </c>
      <c r="H95" s="51">
        <v>35701050.200000003</v>
      </c>
      <c r="I95" s="51">
        <v>1945106.2</v>
      </c>
      <c r="J95" s="51">
        <v>15019304.300000001</v>
      </c>
      <c r="K95" s="51">
        <v>16506892.5</v>
      </c>
      <c r="L95" s="51">
        <v>2229747.2000000002</v>
      </c>
      <c r="M95" s="51">
        <f t="shared" si="23"/>
        <v>35701050.200000003</v>
      </c>
      <c r="N95" s="51">
        <f t="shared" si="22"/>
        <v>0</v>
      </c>
      <c r="O95" s="53" t="s">
        <v>122</v>
      </c>
      <c r="P95" s="51">
        <v>8213.1</v>
      </c>
      <c r="Q95" s="51" t="s">
        <v>111</v>
      </c>
      <c r="R95" s="51"/>
      <c r="S95" s="51" t="s">
        <v>111</v>
      </c>
      <c r="T95" s="51" t="s">
        <v>111</v>
      </c>
      <c r="U95" s="51" t="s">
        <v>111</v>
      </c>
      <c r="V95" s="51">
        <f t="shared" si="12"/>
        <v>8213.1</v>
      </c>
      <c r="W95" s="51">
        <f t="shared" si="24"/>
        <v>35709263.300000004</v>
      </c>
      <c r="X95" s="51">
        <v>37190733.100000001</v>
      </c>
      <c r="Y95" s="51">
        <f t="shared" si="18"/>
        <v>1481469.799999997</v>
      </c>
      <c r="Z95" s="50" t="str">
        <f>'1.2'!F94</f>
        <v>224-ОЗ</v>
      </c>
      <c r="AA95" s="58">
        <f>'1.1'!H94</f>
        <v>44908</v>
      </c>
      <c r="AB95" s="233">
        <v>11</v>
      </c>
      <c r="AC95" s="233" t="s">
        <v>111</v>
      </c>
      <c r="AD95" s="107" t="s">
        <v>602</v>
      </c>
      <c r="AE95" s="212" t="s">
        <v>111</v>
      </c>
      <c r="AF95" s="180"/>
      <c r="AG95" s="180"/>
      <c r="AH95" s="180"/>
      <c r="AI95" s="180"/>
      <c r="AJ95" s="180"/>
    </row>
    <row r="96" spans="1:37" s="30" customFormat="1" ht="15" customHeight="1">
      <c r="A96" s="107" t="s">
        <v>78</v>
      </c>
      <c r="B96" s="46" t="s">
        <v>419</v>
      </c>
      <c r="C96" s="47">
        <f t="shared" si="21"/>
        <v>1</v>
      </c>
      <c r="D96" s="47"/>
      <c r="E96" s="48">
        <f t="shared" si="26"/>
        <v>1</v>
      </c>
      <c r="F96" s="58" t="s">
        <v>232</v>
      </c>
      <c r="G96" s="58" t="s">
        <v>121</v>
      </c>
      <c r="H96" s="51" t="s">
        <v>111</v>
      </c>
      <c r="I96" s="51">
        <f>2400000+695000</f>
        <v>3095000</v>
      </c>
      <c r="J96" s="51">
        <f>1383383976/1000</f>
        <v>1383383.976</v>
      </c>
      <c r="K96" s="51">
        <f>5825311704.2/1000</f>
        <v>5825311.7041999996</v>
      </c>
      <c r="L96" s="51">
        <f>(152917700+5000000+10000000)/1000</f>
        <v>167917.7</v>
      </c>
      <c r="M96" s="51">
        <f t="shared" si="23"/>
        <v>10471613.380199999</v>
      </c>
      <c r="N96" s="51" t="s">
        <v>111</v>
      </c>
      <c r="O96" s="53" t="s">
        <v>122</v>
      </c>
      <c r="P96" s="51" t="s">
        <v>111</v>
      </c>
      <c r="Q96" s="51" t="s">
        <v>111</v>
      </c>
      <c r="R96" s="51" t="s">
        <v>111</v>
      </c>
      <c r="S96" s="51" t="s">
        <v>111</v>
      </c>
      <c r="T96" s="51" t="s">
        <v>111</v>
      </c>
      <c r="U96" s="51" t="s">
        <v>111</v>
      </c>
      <c r="V96" s="51">
        <f t="shared" si="12"/>
        <v>0</v>
      </c>
      <c r="W96" s="51">
        <f t="shared" si="24"/>
        <v>10471613.380199999</v>
      </c>
      <c r="X96" s="51">
        <v>10617391.8802</v>
      </c>
      <c r="Y96" s="51">
        <f t="shared" si="18"/>
        <v>145778.50000000186</v>
      </c>
      <c r="Z96" s="50" t="str">
        <f>'1.2'!F95</f>
        <v>2767-ОЗ</v>
      </c>
      <c r="AA96" s="58">
        <f>'1.1'!H95</f>
        <v>44897</v>
      </c>
      <c r="AB96" s="233" t="s">
        <v>586</v>
      </c>
      <c r="AC96" s="233" t="s">
        <v>111</v>
      </c>
      <c r="AD96" s="107" t="s">
        <v>609</v>
      </c>
      <c r="AE96" s="212" t="s">
        <v>111</v>
      </c>
      <c r="AF96" s="180"/>
      <c r="AG96" s="180"/>
      <c r="AH96" s="180"/>
      <c r="AI96" s="180"/>
      <c r="AJ96" s="180"/>
      <c r="AK96"/>
    </row>
    <row r="97" spans="1:42" s="30" customFormat="1" ht="15" customHeight="1">
      <c r="A97" s="107" t="s">
        <v>79</v>
      </c>
      <c r="B97" s="46" t="s">
        <v>418</v>
      </c>
      <c r="C97" s="47">
        <f t="shared" si="21"/>
        <v>2</v>
      </c>
      <c r="D97" s="47"/>
      <c r="E97" s="48">
        <f t="shared" si="26"/>
        <v>2</v>
      </c>
      <c r="F97" s="58" t="s">
        <v>239</v>
      </c>
      <c r="G97" s="58" t="s">
        <v>121</v>
      </c>
      <c r="H97" s="51">
        <v>51944615.100000001</v>
      </c>
      <c r="I97" s="51">
        <v>9962709.6999999993</v>
      </c>
      <c r="J97" s="51">
        <v>24500537.300000001</v>
      </c>
      <c r="K97" s="51">
        <v>16814804.300000001</v>
      </c>
      <c r="L97" s="51">
        <v>666563.80000000005</v>
      </c>
      <c r="M97" s="51">
        <f t="shared" si="23"/>
        <v>51944615.099999994</v>
      </c>
      <c r="N97" s="51">
        <f t="shared" si="22"/>
        <v>0</v>
      </c>
      <c r="O97" s="53" t="s">
        <v>121</v>
      </c>
      <c r="P97" s="51">
        <v>66809.2</v>
      </c>
      <c r="Q97" s="51" t="s">
        <v>111</v>
      </c>
      <c r="R97" s="51" t="s">
        <v>111</v>
      </c>
      <c r="S97" s="51">
        <v>2980822.8</v>
      </c>
      <c r="T97" s="51">
        <v>47893.9</v>
      </c>
      <c r="U97" s="51" t="s">
        <v>111</v>
      </c>
      <c r="V97" s="51">
        <f t="shared" si="12"/>
        <v>3095525.9</v>
      </c>
      <c r="W97" s="51">
        <f t="shared" si="24"/>
        <v>55040140.999999993</v>
      </c>
      <c r="X97" s="51">
        <v>55040141.000000022</v>
      </c>
      <c r="Y97" s="51">
        <f t="shared" si="18"/>
        <v>0</v>
      </c>
      <c r="Z97" s="50" t="str">
        <f>'1.2'!F96</f>
        <v>115-ЗО</v>
      </c>
      <c r="AA97" s="58">
        <f>'1.1'!H96</f>
        <v>44921</v>
      </c>
      <c r="AB97" s="233">
        <v>2</v>
      </c>
      <c r="AC97" s="233" t="s">
        <v>111</v>
      </c>
      <c r="AD97" s="107" t="s">
        <v>111</v>
      </c>
      <c r="AE97" s="212"/>
      <c r="AF97" s="180"/>
      <c r="AG97" s="180"/>
      <c r="AH97" s="180"/>
      <c r="AI97" s="180"/>
      <c r="AJ97" s="180"/>
      <c r="AK97"/>
    </row>
    <row r="98" spans="1:42" s="30" customFormat="1" ht="15" customHeight="1">
      <c r="A98" s="107" t="s">
        <v>80</v>
      </c>
      <c r="B98" s="46" t="s">
        <v>418</v>
      </c>
      <c r="C98" s="47">
        <f t="shared" si="21"/>
        <v>2</v>
      </c>
      <c r="D98" s="47"/>
      <c r="E98" s="48">
        <f t="shared" si="26"/>
        <v>2</v>
      </c>
      <c r="F98" s="58" t="s">
        <v>239</v>
      </c>
      <c r="G98" s="58" t="s">
        <v>121</v>
      </c>
      <c r="H98" s="51">
        <v>4419138.2</v>
      </c>
      <c r="I98" s="51">
        <v>925502.1</v>
      </c>
      <c r="J98" s="51">
        <v>1038960.6</v>
      </c>
      <c r="K98" s="51">
        <v>1864114.9</v>
      </c>
      <c r="L98" s="51">
        <v>590560.6</v>
      </c>
      <c r="M98" s="51">
        <f t="shared" si="23"/>
        <v>4419138.1999999993</v>
      </c>
      <c r="N98" s="51">
        <f t="shared" si="22"/>
        <v>0</v>
      </c>
      <c r="O98" s="53" t="s">
        <v>121</v>
      </c>
      <c r="P98" s="51">
        <v>260.10000000000002</v>
      </c>
      <c r="Q98" s="51" t="s">
        <v>111</v>
      </c>
      <c r="R98" s="51" t="s">
        <v>111</v>
      </c>
      <c r="S98" s="51">
        <v>271343.3</v>
      </c>
      <c r="T98" s="51">
        <v>29476</v>
      </c>
      <c r="U98" s="51" t="s">
        <v>111</v>
      </c>
      <c r="V98" s="51">
        <f t="shared" si="12"/>
        <v>301079.39999999997</v>
      </c>
      <c r="W98" s="51">
        <f>M98+V98</f>
        <v>4720217.5999999996</v>
      </c>
      <c r="X98" s="51">
        <v>4720217.6000000006</v>
      </c>
      <c r="Y98" s="51">
        <f t="shared" si="18"/>
        <v>0</v>
      </c>
      <c r="Z98" s="50" t="str">
        <f>'1.2'!F97</f>
        <v>181-ОЗ</v>
      </c>
      <c r="AA98" s="58">
        <f>'1.1'!H97</f>
        <v>44901</v>
      </c>
      <c r="AB98" s="233">
        <v>13</v>
      </c>
      <c r="AC98" s="233" t="s">
        <v>111</v>
      </c>
      <c r="AD98" s="107" t="s">
        <v>111</v>
      </c>
      <c r="AE98" s="212" t="s">
        <v>111</v>
      </c>
      <c r="AF98" s="180"/>
      <c r="AG98" s="180"/>
      <c r="AH98" s="180"/>
      <c r="AI98" s="180"/>
      <c r="AJ98" s="180"/>
      <c r="AK98"/>
    </row>
    <row r="99" spans="1:42" s="30" customFormat="1" ht="15" customHeight="1">
      <c r="A99" s="107" t="s">
        <v>81</v>
      </c>
      <c r="B99" s="46" t="s">
        <v>418</v>
      </c>
      <c r="C99" s="47">
        <f t="shared" si="21"/>
        <v>2</v>
      </c>
      <c r="D99" s="47"/>
      <c r="E99" s="48">
        <f t="shared" si="26"/>
        <v>2</v>
      </c>
      <c r="F99" s="58" t="s">
        <v>239</v>
      </c>
      <c r="G99" s="58" t="s">
        <v>121</v>
      </c>
      <c r="H99" s="51">
        <v>12893315.1</v>
      </c>
      <c r="I99" s="51">
        <v>3914149.2</v>
      </c>
      <c r="J99" s="51">
        <v>3179922.4</v>
      </c>
      <c r="K99" s="51">
        <v>5551835.5</v>
      </c>
      <c r="L99" s="51">
        <v>247408</v>
      </c>
      <c r="M99" s="51">
        <f t="shared" si="23"/>
        <v>12893315.1</v>
      </c>
      <c r="N99" s="51">
        <f t="shared" si="22"/>
        <v>0</v>
      </c>
      <c r="O99" s="53" t="s">
        <v>121</v>
      </c>
      <c r="P99" s="51">
        <v>233.3</v>
      </c>
      <c r="Q99" s="51" t="s">
        <v>111</v>
      </c>
      <c r="R99" s="51" t="s">
        <v>111</v>
      </c>
      <c r="S99" s="51">
        <v>49342.1</v>
      </c>
      <c r="T99" s="51">
        <f>1013939.9</f>
        <v>1013939.9</v>
      </c>
      <c r="U99" s="51" t="s">
        <v>111</v>
      </c>
      <c r="V99" s="51">
        <f t="shared" si="12"/>
        <v>1063515.3</v>
      </c>
      <c r="W99" s="51">
        <f t="shared" si="24"/>
        <v>13956830.4</v>
      </c>
      <c r="X99" s="51">
        <v>13956830.399999999</v>
      </c>
      <c r="Y99" s="51">
        <f t="shared" si="18"/>
        <v>0</v>
      </c>
      <c r="Z99" s="50" t="str">
        <f>'1.2'!F98</f>
        <v>76-ОЗ</v>
      </c>
      <c r="AA99" s="58">
        <f>'1.1'!H98</f>
        <v>44531</v>
      </c>
      <c r="AB99" s="233" t="s">
        <v>220</v>
      </c>
      <c r="AC99" s="233" t="s">
        <v>159</v>
      </c>
      <c r="AD99" s="107" t="s">
        <v>111</v>
      </c>
      <c r="AE99" s="212" t="s">
        <v>111</v>
      </c>
      <c r="AF99" s="180"/>
      <c r="AG99" s="180"/>
      <c r="AH99" s="180"/>
      <c r="AI99" s="180"/>
      <c r="AJ99" s="180"/>
      <c r="AK99"/>
    </row>
    <row r="100" spans="1:42" s="30" customFormat="1" ht="15" customHeight="1">
      <c r="A100" s="190" t="s">
        <v>237</v>
      </c>
      <c r="B100" s="191"/>
      <c r="C100" s="192"/>
      <c r="D100" s="192"/>
      <c r="E100" s="193"/>
      <c r="F100" s="194"/>
      <c r="G100" s="194"/>
      <c r="H100" s="195"/>
      <c r="I100" s="195"/>
      <c r="J100" s="195"/>
      <c r="K100" s="195"/>
      <c r="L100" s="195"/>
      <c r="M100" s="195"/>
      <c r="N100" s="195"/>
      <c r="O100" s="196"/>
      <c r="P100" s="195"/>
      <c r="Q100" s="195"/>
      <c r="R100" s="195"/>
      <c r="S100" s="195"/>
      <c r="T100" s="195"/>
      <c r="U100" s="195"/>
      <c r="V100" s="195"/>
      <c r="W100" s="195"/>
      <c r="X100" s="195"/>
      <c r="Y100" s="195"/>
      <c r="Z100" s="243"/>
      <c r="AA100" s="194"/>
      <c r="AB100" s="235"/>
      <c r="AC100" s="235"/>
      <c r="AD100" s="190"/>
      <c r="AE100" s="212"/>
      <c r="AF100" s="180"/>
      <c r="AG100" s="180"/>
      <c r="AH100" s="180"/>
      <c r="AI100" s="180"/>
      <c r="AJ100" s="180"/>
      <c r="AK100"/>
    </row>
    <row r="101" spans="1:42" ht="15" customHeight="1">
      <c r="A101" s="190" t="s">
        <v>630</v>
      </c>
      <c r="M101" s="99"/>
      <c r="N101" s="99"/>
      <c r="O101" s="40"/>
      <c r="V101" s="40"/>
      <c r="AD101" s="93"/>
      <c r="AE101" s="214"/>
      <c r="AF101" s="93"/>
      <c r="AG101" s="93"/>
      <c r="AH101" s="93"/>
      <c r="AI101" s="93"/>
      <c r="AJ101" s="93"/>
    </row>
    <row r="102" spans="1:42" ht="15" customHeight="1">
      <c r="A102" s="190" t="s">
        <v>631</v>
      </c>
      <c r="O102" s="40"/>
      <c r="AD102" s="93"/>
      <c r="AE102" s="214"/>
      <c r="AF102" s="93"/>
      <c r="AG102" s="93"/>
      <c r="AH102" s="93"/>
      <c r="AI102" s="93"/>
      <c r="AJ102" s="93"/>
    </row>
    <row r="103" spans="1:42" ht="15" customHeight="1">
      <c r="K103" s="199"/>
      <c r="W103" s="91"/>
      <c r="X103" s="91"/>
      <c r="Y103" s="100"/>
      <c r="Z103" s="241"/>
      <c r="AA103" s="241"/>
      <c r="AB103" s="236"/>
      <c r="AD103" s="93"/>
      <c r="AE103" s="214"/>
      <c r="AF103" s="93"/>
      <c r="AG103" s="93"/>
      <c r="AH103" s="93"/>
      <c r="AI103" s="93"/>
      <c r="AJ103" s="93"/>
    </row>
    <row r="104" spans="1:42" ht="15" customHeight="1">
      <c r="A104" s="4"/>
      <c r="B104" s="4"/>
      <c r="C104" s="4"/>
      <c r="D104" s="4"/>
      <c r="E104" s="6"/>
      <c r="H104" s="92"/>
      <c r="I104" s="92"/>
      <c r="J104" s="92"/>
      <c r="K104" s="199"/>
      <c r="L104" s="92"/>
      <c r="M104" s="187"/>
      <c r="N104" s="187"/>
      <c r="O104" s="95"/>
      <c r="P104" s="91"/>
      <c r="Q104" s="91"/>
      <c r="R104" s="91"/>
      <c r="S104" s="91"/>
      <c r="T104" s="91"/>
      <c r="U104" s="91"/>
      <c r="V104" s="173"/>
      <c r="W104" s="91"/>
      <c r="X104" s="91"/>
      <c r="Y104" s="100"/>
      <c r="Z104" s="241"/>
      <c r="AA104" s="241"/>
      <c r="AB104" s="236"/>
      <c r="AD104" s="93"/>
      <c r="AE104" s="214"/>
      <c r="AF104" s="93"/>
      <c r="AG104" s="93"/>
      <c r="AH104" s="93"/>
      <c r="AI104" s="93"/>
      <c r="AJ104" s="93"/>
    </row>
    <row r="105" spans="1:42" ht="15" customHeight="1">
      <c r="H105" s="91"/>
      <c r="I105" s="91"/>
      <c r="J105" s="91"/>
      <c r="K105" s="199"/>
      <c r="L105" s="91"/>
      <c r="M105" s="187"/>
      <c r="N105" s="187"/>
      <c r="O105" s="95"/>
      <c r="P105" s="91"/>
      <c r="Q105" s="91"/>
      <c r="R105" s="91"/>
      <c r="S105" s="91"/>
      <c r="T105" s="91"/>
      <c r="U105" s="91"/>
      <c r="V105" s="173"/>
      <c r="W105" s="91"/>
      <c r="X105" s="92"/>
      <c r="Y105" s="100"/>
      <c r="Z105" s="241"/>
      <c r="AA105" s="241"/>
      <c r="AB105" s="236"/>
      <c r="AD105" s="93"/>
      <c r="AE105" s="214"/>
      <c r="AF105" s="93"/>
      <c r="AG105" s="93"/>
      <c r="AH105" s="93"/>
      <c r="AI105" s="93"/>
      <c r="AJ105" s="93"/>
    </row>
    <row r="106" spans="1:42" ht="15" customHeight="1">
      <c r="L106" s="4"/>
      <c r="W106" s="91"/>
      <c r="X106" s="92"/>
      <c r="Y106" s="100"/>
      <c r="Z106" s="241"/>
      <c r="AA106" s="241"/>
      <c r="AB106" s="236"/>
      <c r="AD106" s="93"/>
      <c r="AE106" s="214"/>
      <c r="AF106" s="93"/>
      <c r="AG106" s="93"/>
      <c r="AH106" s="93"/>
      <c r="AI106" s="93"/>
      <c r="AJ106" s="93"/>
    </row>
    <row r="107" spans="1:42" ht="18">
      <c r="W107" s="91"/>
      <c r="X107" s="92"/>
      <c r="Y107" s="100"/>
      <c r="Z107" s="241"/>
      <c r="AA107" s="241"/>
      <c r="AB107" s="236"/>
      <c r="AD107" s="93"/>
      <c r="AE107" s="214"/>
      <c r="AF107" s="93"/>
      <c r="AG107" s="93"/>
      <c r="AH107" s="93"/>
      <c r="AI107" s="93"/>
      <c r="AJ107" s="93"/>
    </row>
    <row r="108" spans="1:42" s="2" customFormat="1" ht="18">
      <c r="A108" s="4"/>
      <c r="B108" s="4"/>
      <c r="C108" s="4"/>
      <c r="D108" s="4"/>
      <c r="E108" s="6"/>
      <c r="F108" s="40"/>
      <c r="G108" s="40"/>
      <c r="H108" s="40"/>
      <c r="I108" s="40"/>
      <c r="J108" s="40"/>
      <c r="K108" s="40"/>
      <c r="L108" s="40"/>
      <c r="M108" s="186"/>
      <c r="N108" s="186"/>
      <c r="O108" s="90"/>
      <c r="P108" s="40"/>
      <c r="Q108" s="40"/>
      <c r="R108" s="40"/>
      <c r="S108" s="40"/>
      <c r="T108" s="40"/>
      <c r="U108" s="40"/>
      <c r="V108" s="172"/>
      <c r="W108" s="91"/>
      <c r="X108" s="92"/>
      <c r="Y108" s="100"/>
      <c r="Z108" s="241"/>
      <c r="AA108" s="241"/>
      <c r="AB108" s="237"/>
      <c r="AC108" s="238"/>
      <c r="AD108" s="93"/>
      <c r="AE108" s="214"/>
      <c r="AF108" s="93"/>
      <c r="AG108" s="93"/>
      <c r="AH108" s="93"/>
      <c r="AI108" s="93"/>
      <c r="AJ108" s="93"/>
    </row>
    <row r="109" spans="1:42" ht="18">
      <c r="W109" s="91"/>
      <c r="X109" s="92"/>
      <c r="Y109" s="100"/>
      <c r="Z109" s="241"/>
      <c r="AA109" s="241"/>
      <c r="AB109" s="236"/>
      <c r="AD109" s="93"/>
      <c r="AE109" s="214"/>
      <c r="AF109" s="93"/>
      <c r="AG109" s="93"/>
      <c r="AH109" s="93"/>
      <c r="AI109" s="93"/>
      <c r="AJ109" s="93"/>
      <c r="AP109" s="28"/>
    </row>
    <row r="110" spans="1:42" s="2" customFormat="1" ht="18">
      <c r="A110" s="4"/>
      <c r="B110" s="4"/>
      <c r="C110" s="4"/>
      <c r="D110" s="4"/>
      <c r="E110" s="6"/>
      <c r="F110" s="40"/>
      <c r="G110" s="40"/>
      <c r="H110" s="40"/>
      <c r="I110" s="40"/>
      <c r="J110" s="40"/>
      <c r="K110" s="40"/>
      <c r="L110" s="40"/>
      <c r="M110" s="186"/>
      <c r="N110" s="186"/>
      <c r="O110" s="90"/>
      <c r="P110" s="40"/>
      <c r="Q110" s="40"/>
      <c r="R110" s="40"/>
      <c r="S110" s="40"/>
      <c r="T110" s="40"/>
      <c r="U110" s="40"/>
      <c r="V110" s="172"/>
      <c r="W110" s="91"/>
      <c r="X110" s="92"/>
      <c r="Y110" s="100"/>
      <c r="Z110" s="241"/>
      <c r="AA110" s="241"/>
      <c r="AB110" s="237"/>
      <c r="AC110" s="238"/>
      <c r="AD110" s="93"/>
      <c r="AE110" s="214"/>
      <c r="AF110" s="93"/>
      <c r="AG110" s="93"/>
      <c r="AH110" s="93"/>
      <c r="AI110" s="93"/>
      <c r="AJ110" s="93"/>
      <c r="AP110" s="28">
        <f>SUM(AE110:AO110)</f>
        <v>0</v>
      </c>
    </row>
    <row r="111" spans="1:42" ht="18">
      <c r="W111" s="91"/>
      <c r="X111" s="92"/>
      <c r="Y111" s="100"/>
      <c r="Z111" s="241"/>
      <c r="AA111" s="241"/>
      <c r="AB111" s="236"/>
      <c r="AD111" s="93"/>
      <c r="AE111" s="214"/>
      <c r="AF111" s="93"/>
      <c r="AG111" s="93"/>
      <c r="AH111" s="93"/>
      <c r="AI111" s="93"/>
      <c r="AJ111" s="93"/>
      <c r="AP111" s="28"/>
    </row>
    <row r="112" spans="1:42" ht="18">
      <c r="W112" s="91"/>
      <c r="X112" s="92"/>
      <c r="Y112" s="100"/>
      <c r="Z112" s="241"/>
      <c r="AA112" s="241"/>
      <c r="AB112" s="236"/>
      <c r="AD112" s="93"/>
      <c r="AE112" s="214"/>
      <c r="AF112" s="93"/>
      <c r="AG112" s="93"/>
      <c r="AH112" s="93"/>
      <c r="AI112" s="93"/>
      <c r="AJ112" s="93"/>
      <c r="AP112" s="28">
        <f>SUM(AE112:AO112)</f>
        <v>0</v>
      </c>
    </row>
    <row r="113" spans="1:42" ht="18">
      <c r="W113" s="91"/>
      <c r="X113" s="92"/>
      <c r="Y113" s="100"/>
      <c r="Z113" s="241"/>
      <c r="AA113" s="241"/>
      <c r="AB113" s="236"/>
      <c r="AD113" s="93"/>
      <c r="AE113" s="214"/>
      <c r="AF113" s="93"/>
      <c r="AG113" s="93"/>
      <c r="AH113" s="93"/>
      <c r="AI113" s="93"/>
      <c r="AJ113" s="93"/>
      <c r="AP113" s="28"/>
    </row>
    <row r="114" spans="1:42" s="2" customFormat="1" ht="18">
      <c r="A114" s="4"/>
      <c r="B114" s="4"/>
      <c r="C114" s="4"/>
      <c r="D114" s="4"/>
      <c r="E114" s="6"/>
      <c r="F114" s="40"/>
      <c r="G114" s="40"/>
      <c r="H114" s="40"/>
      <c r="I114" s="40"/>
      <c r="J114" s="40"/>
      <c r="K114" s="40"/>
      <c r="L114" s="40"/>
      <c r="M114" s="186"/>
      <c r="N114" s="186"/>
      <c r="O114" s="90"/>
      <c r="P114" s="40"/>
      <c r="Q114" s="40"/>
      <c r="R114" s="40"/>
      <c r="S114" s="40"/>
      <c r="T114" s="40"/>
      <c r="U114" s="40"/>
      <c r="V114" s="172"/>
      <c r="W114" s="40"/>
      <c r="X114" s="40"/>
      <c r="Y114" s="99"/>
      <c r="Z114" s="240"/>
      <c r="AA114" s="242"/>
      <c r="AB114" s="238"/>
      <c r="AC114" s="238"/>
      <c r="AD114" s="93"/>
      <c r="AE114" s="214"/>
      <c r="AF114" s="93"/>
      <c r="AG114" s="93"/>
      <c r="AH114" s="93"/>
      <c r="AI114" s="93"/>
      <c r="AJ114" s="93"/>
      <c r="AP114" s="28"/>
    </row>
    <row r="115" spans="1:42" ht="18">
      <c r="AD115" s="93"/>
      <c r="AE115" s="214"/>
      <c r="AF115" s="93"/>
      <c r="AG115" s="93"/>
      <c r="AH115" s="93"/>
      <c r="AI115" s="93"/>
      <c r="AJ115" s="93"/>
    </row>
    <row r="116" spans="1:42" ht="18">
      <c r="AD116" s="93"/>
      <c r="AE116" s="214"/>
      <c r="AF116" s="93"/>
      <c r="AG116" s="93"/>
      <c r="AH116" s="93"/>
      <c r="AI116" s="93"/>
      <c r="AJ116" s="93"/>
    </row>
    <row r="117" spans="1:42" s="2" customFormat="1" ht="18">
      <c r="A117" s="4"/>
      <c r="B117" s="4"/>
      <c r="C117" s="4"/>
      <c r="D117" s="4"/>
      <c r="E117" s="6"/>
      <c r="F117" s="40"/>
      <c r="G117" s="40"/>
      <c r="H117" s="40"/>
      <c r="I117" s="40"/>
      <c r="J117" s="40"/>
      <c r="K117" s="40"/>
      <c r="L117" s="40"/>
      <c r="M117" s="186"/>
      <c r="N117" s="186"/>
      <c r="O117" s="90"/>
      <c r="P117" s="40"/>
      <c r="Q117" s="40"/>
      <c r="R117" s="40"/>
      <c r="S117" s="40"/>
      <c r="T117" s="40"/>
      <c r="U117" s="40"/>
      <c r="V117" s="172"/>
      <c r="W117" s="40"/>
      <c r="X117" s="40"/>
      <c r="Y117" s="99"/>
      <c r="Z117" s="240"/>
      <c r="AA117" s="242"/>
      <c r="AB117" s="238"/>
      <c r="AC117" s="238"/>
      <c r="AD117" s="93"/>
      <c r="AE117" s="214"/>
      <c r="AF117" s="93"/>
      <c r="AG117" s="93"/>
      <c r="AH117" s="93"/>
      <c r="AI117" s="93"/>
      <c r="AJ117" s="93"/>
    </row>
    <row r="118" spans="1:42" ht="18">
      <c r="AD118" s="93"/>
      <c r="AE118" s="214"/>
      <c r="AF118" s="93"/>
      <c r="AG118" s="93"/>
      <c r="AH118" s="93"/>
      <c r="AI118" s="93"/>
      <c r="AJ118" s="93"/>
    </row>
    <row r="119" spans="1:42" ht="18">
      <c r="AD119" s="93"/>
      <c r="AE119" s="214"/>
      <c r="AF119" s="93"/>
      <c r="AG119" s="93"/>
      <c r="AH119" s="93"/>
      <c r="AI119" s="93"/>
      <c r="AJ119" s="93"/>
    </row>
    <row r="120" spans="1:42" ht="18">
      <c r="AD120" s="93"/>
      <c r="AE120" s="214"/>
      <c r="AF120" s="93"/>
      <c r="AG120" s="93"/>
      <c r="AH120" s="93"/>
      <c r="AI120" s="93"/>
      <c r="AJ120" s="93"/>
    </row>
    <row r="121" spans="1:42" s="2" customFormat="1" ht="18">
      <c r="A121" s="4"/>
      <c r="B121" s="4"/>
      <c r="C121" s="4"/>
      <c r="D121" s="4"/>
      <c r="E121" s="6"/>
      <c r="F121" s="40"/>
      <c r="G121" s="40"/>
      <c r="H121" s="40"/>
      <c r="I121" s="40"/>
      <c r="J121" s="40"/>
      <c r="K121" s="40"/>
      <c r="L121" s="40"/>
      <c r="M121" s="186"/>
      <c r="N121" s="186"/>
      <c r="O121" s="90"/>
      <c r="P121" s="40"/>
      <c r="Q121" s="40"/>
      <c r="R121" s="40"/>
      <c r="S121" s="40"/>
      <c r="T121" s="40"/>
      <c r="U121" s="40"/>
      <c r="V121" s="172"/>
      <c r="W121" s="40"/>
      <c r="X121" s="40"/>
      <c r="Y121" s="99"/>
      <c r="Z121" s="240"/>
      <c r="AA121" s="242"/>
      <c r="AB121" s="238"/>
      <c r="AC121" s="238"/>
      <c r="AD121" s="93"/>
      <c r="AE121" s="214"/>
      <c r="AF121" s="93"/>
      <c r="AG121" s="93"/>
      <c r="AH121" s="93"/>
      <c r="AI121" s="93"/>
      <c r="AJ121" s="93"/>
    </row>
    <row r="122" spans="1:42" ht="18">
      <c r="AD122" s="93"/>
      <c r="AE122" s="214"/>
      <c r="AF122" s="93"/>
      <c r="AG122" s="93"/>
      <c r="AH122" s="93"/>
      <c r="AI122" s="93"/>
      <c r="AJ122" s="93"/>
    </row>
    <row r="123" spans="1:42" ht="18">
      <c r="AD123" s="93"/>
      <c r="AE123" s="214"/>
      <c r="AF123" s="93"/>
      <c r="AG123" s="93"/>
      <c r="AH123" s="93"/>
      <c r="AI123" s="93"/>
      <c r="AJ123" s="93"/>
    </row>
    <row r="124" spans="1:42" ht="18">
      <c r="AD124" s="93"/>
      <c r="AE124" s="214"/>
      <c r="AF124" s="93"/>
      <c r="AG124" s="93"/>
      <c r="AH124" s="93"/>
      <c r="AI124" s="93"/>
      <c r="AJ124" s="93"/>
    </row>
    <row r="125" spans="1:42" ht="18">
      <c r="AD125" s="93"/>
      <c r="AE125" s="214"/>
      <c r="AF125" s="93"/>
      <c r="AG125" s="93"/>
      <c r="AH125" s="93"/>
      <c r="AI125" s="93"/>
      <c r="AJ125" s="93"/>
    </row>
    <row r="126" spans="1:42" ht="18">
      <c r="AD126" s="93"/>
      <c r="AE126" s="214"/>
      <c r="AF126" s="93"/>
      <c r="AG126" s="93"/>
      <c r="AH126" s="93"/>
      <c r="AI126" s="93"/>
      <c r="AJ126" s="93"/>
    </row>
    <row r="127" spans="1:42" ht="18">
      <c r="AD127" s="93"/>
      <c r="AE127" s="214"/>
      <c r="AF127" s="93"/>
      <c r="AG127" s="93"/>
      <c r="AH127" s="93"/>
      <c r="AI127" s="93"/>
      <c r="AJ127" s="93"/>
    </row>
    <row r="128" spans="1:42" ht="18">
      <c r="AD128" s="93"/>
      <c r="AE128" s="214"/>
      <c r="AF128" s="93"/>
      <c r="AG128" s="93"/>
      <c r="AH128" s="93"/>
      <c r="AI128" s="93"/>
      <c r="AJ128" s="93"/>
    </row>
    <row r="129" spans="30:36" ht="18">
      <c r="AD129" s="93"/>
      <c r="AE129" s="214"/>
      <c r="AF129" s="93"/>
      <c r="AG129" s="93"/>
      <c r="AH129" s="93"/>
      <c r="AI129" s="93"/>
      <c r="AJ129" s="93"/>
    </row>
    <row r="130" spans="30:36" ht="18">
      <c r="AD130" s="93"/>
      <c r="AE130" s="214"/>
      <c r="AF130" s="93"/>
      <c r="AG130" s="93"/>
      <c r="AH130" s="93"/>
      <c r="AI130" s="93"/>
      <c r="AJ130" s="93"/>
    </row>
    <row r="131" spans="30:36" ht="18">
      <c r="AD131" s="93"/>
      <c r="AE131" s="214"/>
      <c r="AF131" s="93"/>
      <c r="AG131" s="93"/>
      <c r="AH131" s="93"/>
      <c r="AI131" s="93"/>
      <c r="AJ131" s="93"/>
    </row>
    <row r="132" spans="30:36" ht="18">
      <c r="AD132" s="93"/>
      <c r="AE132" s="214"/>
      <c r="AF132" s="93"/>
      <c r="AG132" s="93"/>
      <c r="AH132" s="93"/>
      <c r="AI132" s="93"/>
      <c r="AJ132" s="93"/>
    </row>
    <row r="133" spans="30:36" ht="18">
      <c r="AD133" s="93"/>
      <c r="AE133" s="214"/>
      <c r="AF133" s="93"/>
      <c r="AG133" s="93"/>
      <c r="AH133" s="93"/>
      <c r="AI133" s="93"/>
      <c r="AJ133" s="93"/>
    </row>
    <row r="134" spans="30:36" ht="18">
      <c r="AD134" s="93"/>
      <c r="AE134" s="214"/>
      <c r="AF134" s="93"/>
      <c r="AG134" s="93"/>
      <c r="AH134" s="93"/>
      <c r="AI134" s="93"/>
      <c r="AJ134" s="93"/>
    </row>
    <row r="135" spans="30:36" ht="18">
      <c r="AD135" s="93"/>
      <c r="AE135" s="214"/>
      <c r="AF135" s="93"/>
      <c r="AG135" s="93"/>
      <c r="AH135" s="93"/>
      <c r="AI135" s="93"/>
      <c r="AJ135" s="93"/>
    </row>
    <row r="136" spans="30:36" ht="18">
      <c r="AD136" s="93"/>
      <c r="AE136" s="214"/>
      <c r="AF136" s="93"/>
      <c r="AG136" s="93"/>
      <c r="AH136" s="93"/>
      <c r="AI136" s="93"/>
      <c r="AJ136" s="93"/>
    </row>
    <row r="137" spans="30:36" ht="18">
      <c r="AD137" s="93"/>
      <c r="AE137" s="214"/>
      <c r="AF137" s="93"/>
      <c r="AG137" s="93"/>
      <c r="AH137" s="93"/>
      <c r="AI137" s="93"/>
      <c r="AJ137" s="93"/>
    </row>
    <row r="138" spans="30:36" ht="18">
      <c r="AD138" s="93"/>
      <c r="AE138" s="214"/>
      <c r="AF138" s="93"/>
      <c r="AG138" s="93"/>
      <c r="AH138" s="93"/>
      <c r="AI138" s="93"/>
      <c r="AJ138" s="93"/>
    </row>
    <row r="139" spans="30:36" ht="18">
      <c r="AD139" s="93"/>
      <c r="AE139" s="214"/>
      <c r="AF139" s="93"/>
      <c r="AG139" s="93"/>
      <c r="AH139" s="93"/>
      <c r="AI139" s="93"/>
      <c r="AJ139" s="93"/>
    </row>
    <row r="140" spans="30:36" ht="18">
      <c r="AD140" s="93"/>
      <c r="AE140" s="214"/>
      <c r="AF140" s="93"/>
      <c r="AG140" s="93"/>
      <c r="AH140" s="93"/>
      <c r="AI140" s="93"/>
      <c r="AJ140" s="93"/>
    </row>
    <row r="141" spans="30:36" ht="18">
      <c r="AD141" s="93"/>
      <c r="AE141" s="214"/>
      <c r="AF141" s="93"/>
      <c r="AG141" s="93"/>
      <c r="AH141" s="93"/>
      <c r="AI141" s="93"/>
      <c r="AJ141" s="93"/>
    </row>
    <row r="142" spans="30:36" ht="18">
      <c r="AD142" s="93"/>
      <c r="AE142" s="214"/>
      <c r="AF142" s="93"/>
      <c r="AG142" s="93"/>
      <c r="AH142" s="93"/>
      <c r="AI142" s="93"/>
      <c r="AJ142" s="93"/>
    </row>
    <row r="143" spans="30:36" ht="18">
      <c r="AD143" s="93"/>
      <c r="AE143" s="214"/>
      <c r="AF143" s="93"/>
      <c r="AG143" s="93"/>
      <c r="AH143" s="93"/>
      <c r="AI143" s="93"/>
      <c r="AJ143" s="93"/>
    </row>
    <row r="144" spans="30:36" ht="18">
      <c r="AD144" s="93"/>
      <c r="AE144" s="214"/>
      <c r="AF144" s="93"/>
      <c r="AG144" s="93"/>
      <c r="AH144" s="93"/>
      <c r="AI144" s="93"/>
      <c r="AJ144" s="93"/>
    </row>
    <row r="145" spans="30:36" ht="18">
      <c r="AD145" s="93"/>
      <c r="AE145" s="214"/>
      <c r="AF145" s="93"/>
      <c r="AG145" s="93"/>
      <c r="AH145" s="93"/>
      <c r="AI145" s="93"/>
      <c r="AJ145" s="93"/>
    </row>
    <row r="146" spans="30:36" ht="18">
      <c r="AD146" s="93"/>
      <c r="AE146" s="214"/>
      <c r="AF146" s="93"/>
      <c r="AG146" s="93"/>
      <c r="AH146" s="93"/>
      <c r="AI146" s="93"/>
      <c r="AJ146" s="93"/>
    </row>
    <row r="147" spans="30:36" ht="18">
      <c r="AD147" s="93"/>
      <c r="AE147" s="214"/>
      <c r="AF147" s="93"/>
      <c r="AG147" s="93"/>
      <c r="AH147" s="93"/>
      <c r="AI147" s="93"/>
      <c r="AJ147" s="93"/>
    </row>
    <row r="148" spans="30:36" ht="18">
      <c r="AD148" s="93"/>
      <c r="AE148" s="214"/>
      <c r="AF148" s="93"/>
      <c r="AG148" s="93"/>
      <c r="AH148" s="93"/>
      <c r="AI148" s="93"/>
      <c r="AJ148" s="93"/>
    </row>
    <row r="149" spans="30:36" ht="18">
      <c r="AD149" s="93"/>
      <c r="AE149" s="214"/>
      <c r="AF149" s="93"/>
      <c r="AG149" s="93"/>
      <c r="AH149" s="93"/>
      <c r="AI149" s="93"/>
      <c r="AJ149" s="93"/>
    </row>
    <row r="150" spans="30:36" ht="18">
      <c r="AD150" s="93"/>
      <c r="AE150" s="214"/>
      <c r="AF150" s="93"/>
      <c r="AG150" s="93"/>
      <c r="AH150" s="93"/>
      <c r="AI150" s="93"/>
      <c r="AJ150" s="93"/>
    </row>
    <row r="151" spans="30:36" ht="18">
      <c r="AD151" s="93"/>
      <c r="AE151" s="214"/>
      <c r="AF151" s="93"/>
      <c r="AG151" s="93"/>
      <c r="AH151" s="93"/>
      <c r="AI151" s="93"/>
      <c r="AJ151" s="93"/>
    </row>
    <row r="152" spans="30:36" ht="18">
      <c r="AD152" s="93"/>
      <c r="AE152" s="214"/>
      <c r="AF152" s="93"/>
      <c r="AG152" s="93"/>
      <c r="AH152" s="93"/>
      <c r="AI152" s="93"/>
      <c r="AJ152" s="93"/>
    </row>
    <row r="153" spans="30:36" ht="18">
      <c r="AD153" s="93"/>
      <c r="AE153" s="214"/>
      <c r="AF153" s="93"/>
      <c r="AG153" s="93"/>
      <c r="AH153" s="93"/>
      <c r="AI153" s="93"/>
      <c r="AJ153" s="93"/>
    </row>
    <row r="154" spans="30:36" ht="18">
      <c r="AD154" s="93"/>
      <c r="AE154" s="214"/>
      <c r="AF154" s="93"/>
      <c r="AG154" s="93"/>
      <c r="AH154" s="93"/>
      <c r="AI154" s="93"/>
      <c r="AJ154" s="93"/>
    </row>
    <row r="155" spans="30:36" ht="18">
      <c r="AD155" s="93"/>
      <c r="AE155" s="214"/>
      <c r="AF155" s="93"/>
      <c r="AG155" s="93"/>
      <c r="AH155" s="93"/>
      <c r="AI155" s="93"/>
      <c r="AJ155" s="93"/>
    </row>
    <row r="156" spans="30:36" ht="18">
      <c r="AD156" s="93"/>
      <c r="AE156" s="214"/>
      <c r="AF156" s="93"/>
      <c r="AG156" s="93"/>
      <c r="AH156" s="93"/>
      <c r="AI156" s="93"/>
      <c r="AJ156" s="93"/>
    </row>
    <row r="157" spans="30:36" ht="18">
      <c r="AD157" s="93"/>
      <c r="AE157" s="214"/>
      <c r="AF157" s="93"/>
      <c r="AG157" s="93"/>
      <c r="AH157" s="93"/>
      <c r="AI157" s="93"/>
      <c r="AJ157" s="93"/>
    </row>
    <row r="158" spans="30:36" ht="18">
      <c r="AD158" s="93"/>
      <c r="AE158" s="214"/>
      <c r="AF158" s="93"/>
      <c r="AG158" s="93"/>
      <c r="AH158" s="93"/>
      <c r="AI158" s="93"/>
      <c r="AJ158" s="93"/>
    </row>
    <row r="159" spans="30:36" ht="18">
      <c r="AD159" s="93"/>
      <c r="AE159" s="214"/>
      <c r="AF159" s="93"/>
      <c r="AG159" s="93"/>
      <c r="AH159" s="93"/>
      <c r="AI159" s="93"/>
      <c r="AJ159" s="93"/>
    </row>
    <row r="160" spans="30:36" ht="18">
      <c r="AD160" s="93"/>
      <c r="AE160" s="214"/>
      <c r="AF160" s="93"/>
      <c r="AG160" s="93"/>
      <c r="AH160" s="93"/>
      <c r="AI160" s="93"/>
      <c r="AJ160" s="93"/>
    </row>
    <row r="161" spans="30:36" ht="18">
      <c r="AD161" s="93"/>
      <c r="AE161" s="214"/>
      <c r="AF161" s="93"/>
      <c r="AG161" s="93"/>
      <c r="AH161" s="93"/>
      <c r="AI161" s="93"/>
      <c r="AJ161" s="93"/>
    </row>
    <row r="162" spans="30:36" ht="18">
      <c r="AD162" s="93"/>
      <c r="AE162" s="214"/>
      <c r="AF162" s="93"/>
      <c r="AG162" s="93"/>
      <c r="AH162" s="93"/>
      <c r="AI162" s="93"/>
      <c r="AJ162" s="93"/>
    </row>
    <row r="163" spans="30:36" ht="18">
      <c r="AD163" s="93"/>
      <c r="AE163" s="214"/>
      <c r="AF163" s="93"/>
      <c r="AG163" s="93"/>
      <c r="AH163" s="93"/>
      <c r="AI163" s="93"/>
      <c r="AJ163" s="93"/>
    </row>
    <row r="164" spans="30:36" ht="18">
      <c r="AD164" s="93"/>
      <c r="AE164" s="214"/>
      <c r="AF164" s="93"/>
      <c r="AG164" s="93"/>
      <c r="AH164" s="93"/>
      <c r="AI164" s="93"/>
      <c r="AJ164" s="93"/>
    </row>
    <row r="165" spans="30:36" ht="18">
      <c r="AD165" s="93"/>
      <c r="AE165" s="214"/>
      <c r="AF165" s="93"/>
      <c r="AG165" s="93"/>
      <c r="AH165" s="93"/>
      <c r="AI165" s="93"/>
      <c r="AJ165" s="93"/>
    </row>
    <row r="166" spans="30:36" ht="18">
      <c r="AD166" s="93"/>
      <c r="AE166" s="214"/>
      <c r="AF166" s="93"/>
      <c r="AG166" s="93"/>
      <c r="AH166" s="93"/>
      <c r="AI166" s="93"/>
      <c r="AJ166" s="93"/>
    </row>
    <row r="167" spans="30:36" ht="18">
      <c r="AD167" s="93"/>
      <c r="AE167" s="214"/>
      <c r="AF167" s="93"/>
      <c r="AG167" s="93"/>
      <c r="AH167" s="93"/>
      <c r="AI167" s="93"/>
      <c r="AJ167" s="93"/>
    </row>
    <row r="168" spans="30:36" ht="18">
      <c r="AD168" s="93"/>
      <c r="AE168" s="214"/>
      <c r="AF168" s="93"/>
      <c r="AG168" s="93"/>
      <c r="AH168" s="93"/>
      <c r="AI168" s="93"/>
      <c r="AJ168" s="93"/>
    </row>
    <row r="169" spans="30:36" ht="18">
      <c r="AD169" s="93"/>
      <c r="AE169" s="214"/>
      <c r="AF169" s="93"/>
      <c r="AG169" s="93"/>
      <c r="AH169" s="93"/>
      <c r="AI169" s="93"/>
      <c r="AJ169" s="93"/>
    </row>
    <row r="170" spans="30:36" ht="18">
      <c r="AD170" s="93"/>
      <c r="AE170" s="214"/>
      <c r="AF170" s="93"/>
      <c r="AG170" s="93"/>
      <c r="AH170" s="93"/>
      <c r="AI170" s="93"/>
      <c r="AJ170" s="93"/>
    </row>
    <row r="171" spans="30:36" ht="18">
      <c r="AD171" s="93"/>
      <c r="AE171" s="214"/>
      <c r="AF171" s="93"/>
      <c r="AG171" s="93"/>
      <c r="AH171" s="93"/>
      <c r="AI171" s="93"/>
      <c r="AJ171" s="93"/>
    </row>
    <row r="172" spans="30:36" ht="18">
      <c r="AD172" s="93"/>
      <c r="AE172" s="214"/>
      <c r="AF172" s="93"/>
      <c r="AG172" s="93"/>
      <c r="AH172" s="93"/>
      <c r="AI172" s="93"/>
      <c r="AJ172" s="93"/>
    </row>
    <row r="173" spans="30:36" ht="18">
      <c r="AD173" s="93"/>
      <c r="AE173" s="214"/>
      <c r="AF173" s="93"/>
      <c r="AG173" s="93"/>
      <c r="AH173" s="93"/>
      <c r="AI173" s="93"/>
      <c r="AJ173" s="93"/>
    </row>
    <row r="174" spans="30:36" ht="18">
      <c r="AD174" s="93"/>
      <c r="AE174" s="214"/>
      <c r="AF174" s="93"/>
      <c r="AG174" s="93"/>
      <c r="AH174" s="93"/>
      <c r="AI174" s="93"/>
      <c r="AJ174" s="93"/>
    </row>
    <row r="175" spans="30:36" ht="18">
      <c r="AD175" s="93"/>
      <c r="AE175" s="214"/>
      <c r="AF175" s="93"/>
      <c r="AG175" s="93"/>
      <c r="AH175" s="93"/>
      <c r="AI175" s="93"/>
      <c r="AJ175" s="93"/>
    </row>
    <row r="176" spans="30:36" ht="18">
      <c r="AD176" s="93"/>
      <c r="AE176" s="214"/>
      <c r="AF176" s="93"/>
      <c r="AG176" s="93"/>
      <c r="AH176" s="93"/>
      <c r="AI176" s="93"/>
      <c r="AJ176" s="93"/>
    </row>
    <row r="177" spans="30:36" ht="18">
      <c r="AD177" s="93"/>
      <c r="AE177" s="214"/>
      <c r="AF177" s="93"/>
      <c r="AG177" s="93"/>
      <c r="AH177" s="93"/>
      <c r="AI177" s="93"/>
      <c r="AJ177" s="93"/>
    </row>
    <row r="178" spans="30:36" ht="18">
      <c r="AD178" s="93"/>
      <c r="AE178" s="214"/>
      <c r="AF178" s="93"/>
      <c r="AG178" s="93"/>
      <c r="AH178" s="93"/>
      <c r="AI178" s="93"/>
      <c r="AJ178" s="93"/>
    </row>
    <row r="179" spans="30:36" ht="18">
      <c r="AD179" s="93"/>
      <c r="AE179" s="214"/>
      <c r="AF179" s="93"/>
      <c r="AG179" s="93"/>
      <c r="AH179" s="93"/>
      <c r="AI179" s="93"/>
      <c r="AJ179" s="93"/>
    </row>
    <row r="180" spans="30:36" ht="18">
      <c r="AD180" s="93"/>
      <c r="AE180" s="214"/>
      <c r="AF180" s="93"/>
      <c r="AG180" s="93"/>
      <c r="AH180" s="93"/>
      <c r="AI180" s="93"/>
      <c r="AJ180" s="93"/>
    </row>
    <row r="181" spans="30:36" ht="18">
      <c r="AD181" s="93"/>
      <c r="AE181" s="214"/>
      <c r="AF181" s="93"/>
      <c r="AG181" s="93"/>
      <c r="AH181" s="93"/>
      <c r="AI181" s="93"/>
      <c r="AJ181" s="93"/>
    </row>
    <row r="182" spans="30:36" ht="18">
      <c r="AD182" s="93"/>
      <c r="AE182" s="214"/>
      <c r="AF182" s="93"/>
      <c r="AG182" s="93"/>
      <c r="AH182" s="93"/>
      <c r="AI182" s="93"/>
      <c r="AJ182" s="93"/>
    </row>
    <row r="183" spans="30:36" ht="18">
      <c r="AD183" s="93"/>
      <c r="AE183" s="214"/>
      <c r="AF183" s="93"/>
      <c r="AG183" s="93"/>
      <c r="AH183" s="93"/>
      <c r="AI183" s="93"/>
      <c r="AJ183" s="93"/>
    </row>
    <row r="184" spans="30:36" ht="18">
      <c r="AD184" s="93"/>
      <c r="AE184" s="214"/>
      <c r="AF184" s="93"/>
      <c r="AG184" s="93"/>
      <c r="AH184" s="93"/>
      <c r="AI184" s="93"/>
      <c r="AJ184" s="93"/>
    </row>
    <row r="185" spans="30:36" ht="18">
      <c r="AD185" s="93"/>
      <c r="AE185" s="214"/>
      <c r="AF185" s="93"/>
      <c r="AG185" s="93"/>
      <c r="AH185" s="93"/>
      <c r="AI185" s="93"/>
      <c r="AJ185" s="93"/>
    </row>
    <row r="186" spans="30:36" ht="18">
      <c r="AD186" s="93"/>
      <c r="AE186" s="214"/>
      <c r="AF186" s="93"/>
      <c r="AG186" s="93"/>
      <c r="AH186" s="93"/>
      <c r="AI186" s="93"/>
      <c r="AJ186" s="93"/>
    </row>
    <row r="187" spans="30:36" ht="18">
      <c r="AD187" s="93"/>
      <c r="AE187" s="214"/>
      <c r="AF187" s="93"/>
      <c r="AG187" s="93"/>
      <c r="AH187" s="93"/>
      <c r="AI187" s="93"/>
      <c r="AJ187" s="93"/>
    </row>
    <row r="188" spans="30:36" ht="18">
      <c r="AD188" s="93"/>
      <c r="AE188" s="214"/>
      <c r="AF188" s="93"/>
      <c r="AG188" s="93"/>
      <c r="AH188" s="93"/>
      <c r="AI188" s="93"/>
      <c r="AJ188" s="93"/>
    </row>
    <row r="189" spans="30:36" ht="18">
      <c r="AD189" s="93"/>
      <c r="AE189" s="214"/>
      <c r="AF189" s="93"/>
      <c r="AG189" s="93"/>
      <c r="AH189" s="93"/>
      <c r="AI189" s="93"/>
      <c r="AJ189" s="93"/>
    </row>
    <row r="190" spans="30:36" ht="18">
      <c r="AD190" s="93"/>
      <c r="AE190" s="214"/>
      <c r="AF190" s="93"/>
      <c r="AG190" s="93"/>
      <c r="AH190" s="93"/>
      <c r="AI190" s="93"/>
      <c r="AJ190" s="93"/>
    </row>
    <row r="191" spans="30:36" ht="18">
      <c r="AD191" s="93"/>
      <c r="AE191" s="214"/>
      <c r="AF191" s="93"/>
      <c r="AG191" s="93"/>
      <c r="AH191" s="93"/>
      <c r="AI191" s="93"/>
      <c r="AJ191" s="93"/>
    </row>
    <row r="192" spans="30:36" ht="18">
      <c r="AD192" s="93"/>
      <c r="AE192" s="215"/>
      <c r="AF192" s="93"/>
      <c r="AG192" s="93"/>
      <c r="AH192" s="93"/>
      <c r="AI192" s="93"/>
      <c r="AJ192" s="93"/>
    </row>
    <row r="193" spans="30:36" ht="18">
      <c r="AD193" s="93"/>
      <c r="AE193" s="215"/>
      <c r="AF193" s="93"/>
      <c r="AG193" s="93"/>
      <c r="AH193" s="93"/>
      <c r="AI193" s="93"/>
      <c r="AJ193" s="93"/>
    </row>
    <row r="194" spans="30:36" ht="18">
      <c r="AD194" s="93"/>
      <c r="AE194" s="214"/>
      <c r="AF194" s="93"/>
      <c r="AG194" s="93"/>
      <c r="AH194" s="93"/>
      <c r="AI194" s="93"/>
      <c r="AJ194" s="93"/>
    </row>
    <row r="195" spans="30:36" ht="18">
      <c r="AD195" s="93"/>
      <c r="AE195" s="214"/>
      <c r="AF195" s="93"/>
      <c r="AG195" s="93"/>
      <c r="AH195" s="93"/>
      <c r="AI195" s="93"/>
      <c r="AJ195" s="93"/>
    </row>
    <row r="196" spans="30:36" ht="18">
      <c r="AD196" s="93"/>
      <c r="AE196" s="214"/>
      <c r="AF196" s="93"/>
      <c r="AG196" s="93"/>
      <c r="AH196" s="93"/>
      <c r="AI196" s="93"/>
      <c r="AJ196" s="93"/>
    </row>
    <row r="197" spans="30:36" ht="18">
      <c r="AD197" s="93"/>
      <c r="AE197" s="214"/>
      <c r="AF197" s="93"/>
      <c r="AG197" s="93"/>
      <c r="AH197" s="93"/>
      <c r="AI197" s="93"/>
      <c r="AJ197" s="93"/>
    </row>
    <row r="198" spans="30:36" ht="18">
      <c r="AD198" s="93"/>
      <c r="AE198" s="214"/>
      <c r="AF198" s="93"/>
      <c r="AG198" s="93"/>
      <c r="AH198" s="93"/>
      <c r="AI198" s="93"/>
      <c r="AJ198" s="93"/>
    </row>
    <row r="199" spans="30:36" ht="18">
      <c r="AD199" s="93"/>
      <c r="AE199" s="214"/>
      <c r="AF199" s="93"/>
      <c r="AG199" s="93"/>
      <c r="AH199" s="93"/>
      <c r="AI199" s="93"/>
      <c r="AJ199" s="93"/>
    </row>
    <row r="200" spans="30:36" ht="18">
      <c r="AD200" s="93"/>
      <c r="AE200" s="214"/>
      <c r="AF200" s="93"/>
      <c r="AG200" s="93"/>
      <c r="AH200" s="93"/>
      <c r="AI200" s="93"/>
      <c r="AJ200" s="93"/>
    </row>
    <row r="201" spans="30:36" ht="18">
      <c r="AD201" s="93"/>
      <c r="AE201" s="214"/>
      <c r="AF201" s="93"/>
      <c r="AG201" s="93"/>
      <c r="AH201" s="93"/>
      <c r="AI201" s="93"/>
      <c r="AJ201" s="93"/>
    </row>
    <row r="202" spans="30:36" ht="18">
      <c r="AD202" s="93"/>
      <c r="AE202" s="214"/>
      <c r="AF202" s="93"/>
      <c r="AG202" s="93"/>
      <c r="AH202" s="93"/>
      <c r="AI202" s="93"/>
      <c r="AJ202" s="93"/>
    </row>
    <row r="203" spans="30:36" ht="18">
      <c r="AD203" s="93"/>
      <c r="AE203" s="214"/>
      <c r="AF203" s="93"/>
      <c r="AG203" s="93"/>
      <c r="AH203" s="93"/>
      <c r="AI203" s="93"/>
      <c r="AJ203" s="93"/>
    </row>
    <row r="204" spans="30:36" ht="18">
      <c r="AD204" s="93"/>
      <c r="AE204" s="214"/>
      <c r="AF204" s="93"/>
      <c r="AG204" s="93"/>
      <c r="AH204" s="93"/>
      <c r="AI204" s="93"/>
      <c r="AJ204" s="93"/>
    </row>
    <row r="205" spans="30:36" ht="18">
      <c r="AD205" s="93"/>
      <c r="AE205" s="214"/>
      <c r="AF205" s="93"/>
      <c r="AG205" s="93"/>
      <c r="AH205" s="93"/>
      <c r="AI205" s="93"/>
      <c r="AJ205" s="93"/>
    </row>
    <row r="206" spans="30:36" ht="18">
      <c r="AD206" s="93"/>
      <c r="AE206" s="214"/>
      <c r="AF206" s="93"/>
      <c r="AG206" s="93"/>
      <c r="AH206" s="93"/>
      <c r="AI206" s="93"/>
      <c r="AJ206" s="93"/>
    </row>
    <row r="207" spans="30:36" ht="18">
      <c r="AD207" s="93"/>
      <c r="AE207" s="214"/>
      <c r="AF207" s="93"/>
      <c r="AG207" s="93"/>
      <c r="AH207" s="93"/>
      <c r="AI207" s="93"/>
      <c r="AJ207" s="93"/>
    </row>
    <row r="208" spans="30:36" ht="18">
      <c r="AD208" s="93"/>
      <c r="AE208" s="214"/>
      <c r="AF208" s="93"/>
      <c r="AG208" s="93"/>
      <c r="AH208" s="93"/>
      <c r="AI208" s="93"/>
      <c r="AJ208" s="93"/>
    </row>
    <row r="209" spans="30:36" ht="18">
      <c r="AD209" s="93"/>
      <c r="AE209" s="214"/>
      <c r="AF209" s="93"/>
      <c r="AG209" s="93"/>
      <c r="AH209" s="93"/>
      <c r="AI209" s="93"/>
      <c r="AJ209" s="93"/>
    </row>
    <row r="210" spans="30:36" ht="18">
      <c r="AD210" s="93"/>
      <c r="AE210" s="214"/>
      <c r="AF210" s="93"/>
      <c r="AG210" s="93"/>
      <c r="AH210" s="93"/>
      <c r="AI210" s="93"/>
      <c r="AJ210" s="93"/>
    </row>
    <row r="211" spans="30:36" ht="18">
      <c r="AD211" s="93"/>
      <c r="AE211" s="214"/>
      <c r="AF211" s="93"/>
      <c r="AG211" s="93"/>
      <c r="AH211" s="93"/>
      <c r="AI211" s="93"/>
      <c r="AJ211" s="93"/>
    </row>
    <row r="212" spans="30:36" ht="18">
      <c r="AD212" s="93"/>
      <c r="AE212" s="214"/>
      <c r="AF212" s="93"/>
      <c r="AG212" s="93"/>
      <c r="AH212" s="93"/>
      <c r="AI212" s="93"/>
      <c r="AJ212" s="93"/>
    </row>
    <row r="213" spans="30:36" ht="18">
      <c r="AD213" s="93"/>
      <c r="AE213" s="214"/>
      <c r="AF213" s="93"/>
      <c r="AG213" s="93"/>
      <c r="AH213" s="93"/>
      <c r="AI213" s="93"/>
      <c r="AJ213" s="93"/>
    </row>
    <row r="214" spans="30:36" ht="18">
      <c r="AD214" s="93"/>
      <c r="AE214" s="214"/>
      <c r="AF214" s="93"/>
      <c r="AG214" s="93"/>
      <c r="AH214" s="93"/>
      <c r="AI214" s="93"/>
      <c r="AJ214" s="93"/>
    </row>
    <row r="215" spans="30:36" ht="18">
      <c r="AD215" s="93"/>
      <c r="AE215" s="214"/>
      <c r="AF215" s="93"/>
      <c r="AG215" s="93"/>
      <c r="AH215" s="93"/>
      <c r="AI215" s="93"/>
      <c r="AJ215" s="93"/>
    </row>
    <row r="216" spans="30:36" ht="18">
      <c r="AD216" s="93"/>
      <c r="AE216" s="214"/>
      <c r="AF216" s="93"/>
      <c r="AG216" s="93"/>
      <c r="AH216" s="93"/>
      <c r="AI216" s="93"/>
      <c r="AJ216" s="93"/>
    </row>
    <row r="217" spans="30:36" ht="18">
      <c r="AD217" s="93"/>
      <c r="AE217" s="214"/>
      <c r="AF217" s="93"/>
      <c r="AG217" s="93"/>
      <c r="AH217" s="93"/>
      <c r="AI217" s="93"/>
      <c r="AJ217" s="93"/>
    </row>
    <row r="218" spans="30:36" ht="18">
      <c r="AD218" s="93"/>
      <c r="AE218" s="214"/>
      <c r="AF218" s="93"/>
      <c r="AG218" s="93"/>
      <c r="AH218" s="93"/>
      <c r="AI218" s="93"/>
      <c r="AJ218" s="93"/>
    </row>
    <row r="219" spans="30:36" ht="18">
      <c r="AD219" s="93"/>
      <c r="AE219" s="214"/>
      <c r="AF219" s="93"/>
      <c r="AG219" s="93"/>
      <c r="AH219" s="93"/>
      <c r="AI219" s="93"/>
      <c r="AJ219" s="93"/>
    </row>
    <row r="220" spans="30:36" ht="18">
      <c r="AD220" s="93"/>
      <c r="AE220" s="214"/>
      <c r="AF220" s="93"/>
      <c r="AG220" s="93"/>
      <c r="AH220" s="93"/>
      <c r="AI220" s="93"/>
      <c r="AJ220" s="93"/>
    </row>
    <row r="221" spans="30:36" ht="18">
      <c r="AD221" s="93"/>
      <c r="AE221" s="214"/>
      <c r="AF221" s="93"/>
      <c r="AG221" s="93"/>
      <c r="AH221" s="93"/>
      <c r="AI221" s="93"/>
      <c r="AJ221" s="93"/>
    </row>
    <row r="222" spans="30:36" ht="18">
      <c r="AD222" s="93"/>
      <c r="AE222" s="214"/>
      <c r="AF222" s="93"/>
      <c r="AG222" s="93"/>
      <c r="AH222" s="93"/>
      <c r="AI222" s="93"/>
      <c r="AJ222" s="93"/>
    </row>
    <row r="223" spans="30:36" ht="18">
      <c r="AD223" s="93"/>
      <c r="AE223" s="214"/>
      <c r="AF223" s="93"/>
      <c r="AG223" s="93"/>
      <c r="AH223" s="93"/>
      <c r="AI223" s="93"/>
      <c r="AJ223" s="93"/>
    </row>
    <row r="224" spans="30:36" ht="18">
      <c r="AD224" s="93"/>
      <c r="AE224" s="214"/>
      <c r="AF224" s="93"/>
      <c r="AG224" s="93"/>
      <c r="AH224" s="93"/>
      <c r="AI224" s="93"/>
      <c r="AJ224" s="93"/>
    </row>
    <row r="225" spans="30:36" ht="18">
      <c r="AD225" s="93"/>
      <c r="AE225" s="214"/>
      <c r="AF225" s="93"/>
      <c r="AG225" s="93"/>
      <c r="AH225" s="93"/>
      <c r="AI225" s="93"/>
      <c r="AJ225" s="93"/>
    </row>
    <row r="226" spans="30:36" ht="18">
      <c r="AD226" s="93"/>
      <c r="AE226" s="214"/>
      <c r="AF226" s="93"/>
      <c r="AG226" s="93"/>
      <c r="AH226" s="93"/>
      <c r="AI226" s="93"/>
      <c r="AJ226" s="93"/>
    </row>
    <row r="227" spans="30:36" ht="18">
      <c r="AD227" s="93"/>
      <c r="AE227" s="214"/>
      <c r="AF227" s="93"/>
      <c r="AG227" s="93"/>
      <c r="AH227" s="93"/>
      <c r="AI227" s="93"/>
      <c r="AJ227" s="93"/>
    </row>
    <row r="228" spans="30:36" ht="18">
      <c r="AD228" s="93"/>
      <c r="AE228" s="214"/>
      <c r="AF228" s="93"/>
      <c r="AG228" s="93"/>
      <c r="AH228" s="93"/>
      <c r="AI228" s="93"/>
      <c r="AJ228" s="93"/>
    </row>
    <row r="229" spans="30:36" ht="18">
      <c r="AD229" s="93"/>
      <c r="AE229" s="214"/>
      <c r="AF229" s="93"/>
      <c r="AG229" s="93"/>
      <c r="AH229" s="93"/>
      <c r="AI229" s="93"/>
      <c r="AJ229" s="93"/>
    </row>
    <row r="230" spans="30:36" ht="18">
      <c r="AD230" s="93"/>
      <c r="AE230" s="214"/>
      <c r="AF230" s="93"/>
      <c r="AG230" s="93"/>
      <c r="AH230" s="93"/>
      <c r="AI230" s="93"/>
      <c r="AJ230" s="93"/>
    </row>
    <row r="231" spans="30:36" ht="18">
      <c r="AD231" s="93"/>
      <c r="AE231" s="214"/>
      <c r="AF231" s="93"/>
      <c r="AG231" s="93"/>
      <c r="AH231" s="93"/>
      <c r="AI231" s="93"/>
      <c r="AJ231" s="93"/>
    </row>
    <row r="232" spans="30:36" ht="18">
      <c r="AD232" s="93"/>
      <c r="AE232" s="214"/>
      <c r="AF232" s="93"/>
      <c r="AG232" s="93"/>
      <c r="AH232" s="93"/>
      <c r="AI232" s="93"/>
      <c r="AJ232" s="93"/>
    </row>
    <row r="233" spans="30:36" ht="18">
      <c r="AD233" s="93"/>
      <c r="AE233" s="214"/>
      <c r="AF233" s="93"/>
      <c r="AG233" s="93"/>
      <c r="AH233" s="93"/>
      <c r="AI233" s="93"/>
      <c r="AJ233" s="93"/>
    </row>
    <row r="234" spans="30:36" ht="18">
      <c r="AD234" s="93"/>
      <c r="AE234" s="214"/>
      <c r="AF234" s="93"/>
      <c r="AG234" s="93"/>
      <c r="AH234" s="93"/>
      <c r="AI234" s="93"/>
      <c r="AJ234" s="93"/>
    </row>
    <row r="235" spans="30:36" ht="18">
      <c r="AD235" s="93"/>
      <c r="AE235" s="214"/>
      <c r="AF235" s="93"/>
      <c r="AG235" s="93"/>
      <c r="AH235" s="93"/>
      <c r="AI235" s="93"/>
      <c r="AJ235" s="93"/>
    </row>
    <row r="236" spans="30:36" ht="18">
      <c r="AD236" s="93"/>
      <c r="AE236" s="214"/>
      <c r="AF236" s="93"/>
      <c r="AG236" s="93"/>
      <c r="AH236" s="93"/>
      <c r="AI236" s="93"/>
      <c r="AJ236" s="93"/>
    </row>
    <row r="237" spans="30:36" ht="18">
      <c r="AD237" s="93"/>
      <c r="AE237" s="214"/>
      <c r="AF237" s="93"/>
      <c r="AG237" s="93"/>
      <c r="AH237" s="93"/>
      <c r="AI237" s="93"/>
      <c r="AJ237" s="93"/>
    </row>
    <row r="238" spans="30:36" ht="18">
      <c r="AD238" s="93"/>
      <c r="AE238" s="214"/>
      <c r="AF238" s="93"/>
      <c r="AG238" s="93"/>
      <c r="AH238" s="93"/>
      <c r="AI238" s="93"/>
      <c r="AJ238" s="93"/>
    </row>
    <row r="239" spans="30:36" ht="18">
      <c r="AD239" s="93"/>
      <c r="AE239" s="214"/>
      <c r="AF239" s="93"/>
      <c r="AG239" s="93"/>
      <c r="AH239" s="93"/>
      <c r="AI239" s="93"/>
      <c r="AJ239" s="93"/>
    </row>
    <row r="240" spans="30:36" ht="18">
      <c r="AD240" s="93"/>
      <c r="AE240" s="214"/>
      <c r="AF240" s="93"/>
      <c r="AG240" s="93"/>
      <c r="AH240" s="93"/>
      <c r="AI240" s="93"/>
      <c r="AJ240" s="93"/>
    </row>
    <row r="241" spans="30:36" ht="18">
      <c r="AD241" s="93"/>
      <c r="AE241" s="214"/>
      <c r="AF241" s="93"/>
      <c r="AG241" s="93"/>
      <c r="AH241" s="93"/>
      <c r="AI241" s="93"/>
      <c r="AJ241" s="93"/>
    </row>
    <row r="242" spans="30:36" ht="18">
      <c r="AD242" s="93"/>
      <c r="AE242" s="214"/>
      <c r="AF242" s="93"/>
      <c r="AG242" s="93"/>
      <c r="AH242" s="93"/>
      <c r="AI242" s="93"/>
      <c r="AJ242" s="93"/>
    </row>
    <row r="243" spans="30:36" ht="18">
      <c r="AD243" s="93"/>
      <c r="AE243" s="214"/>
      <c r="AF243" s="93"/>
      <c r="AG243" s="93"/>
      <c r="AH243" s="93"/>
      <c r="AI243" s="93"/>
      <c r="AJ243" s="93"/>
    </row>
    <row r="244" spans="30:36" ht="18">
      <c r="AD244" s="93"/>
      <c r="AE244" s="214"/>
      <c r="AF244" s="93"/>
      <c r="AG244" s="93"/>
      <c r="AH244" s="93"/>
      <c r="AI244" s="93"/>
      <c r="AJ244" s="93"/>
    </row>
    <row r="245" spans="30:36" ht="18">
      <c r="AD245" s="93"/>
      <c r="AE245" s="214"/>
      <c r="AF245" s="93"/>
      <c r="AG245" s="93"/>
      <c r="AH245" s="93"/>
      <c r="AI245" s="93"/>
      <c r="AJ245" s="93"/>
    </row>
    <row r="246" spans="30:36" ht="18">
      <c r="AD246" s="93"/>
      <c r="AE246" s="214"/>
      <c r="AF246" s="93"/>
      <c r="AG246" s="93"/>
      <c r="AH246" s="93"/>
      <c r="AI246" s="93"/>
      <c r="AJ246" s="93"/>
    </row>
    <row r="247" spans="30:36" ht="18">
      <c r="AD247" s="93"/>
      <c r="AE247" s="214"/>
      <c r="AF247" s="93"/>
      <c r="AG247" s="93"/>
      <c r="AH247" s="93"/>
      <c r="AI247" s="93"/>
      <c r="AJ247" s="93"/>
    </row>
    <row r="248" spans="30:36" ht="18">
      <c r="AD248" s="93"/>
      <c r="AE248" s="214"/>
      <c r="AF248" s="93"/>
      <c r="AG248" s="93"/>
      <c r="AH248" s="93"/>
      <c r="AI248" s="93"/>
      <c r="AJ248" s="93"/>
    </row>
    <row r="249" spans="30:36" ht="18">
      <c r="AD249" s="93"/>
      <c r="AE249" s="214"/>
      <c r="AF249" s="93"/>
      <c r="AG249" s="93"/>
      <c r="AH249" s="93"/>
      <c r="AI249" s="93"/>
      <c r="AJ249" s="93"/>
    </row>
    <row r="250" spans="30:36" ht="18">
      <c r="AD250" s="93"/>
      <c r="AE250" s="214"/>
      <c r="AF250" s="93"/>
      <c r="AG250" s="93"/>
      <c r="AH250" s="93"/>
      <c r="AI250" s="93"/>
      <c r="AJ250" s="93"/>
    </row>
    <row r="251" spans="30:36" ht="18">
      <c r="AD251" s="93"/>
      <c r="AE251" s="214"/>
      <c r="AF251" s="93"/>
      <c r="AG251" s="93"/>
      <c r="AH251" s="93"/>
      <c r="AI251" s="93"/>
      <c r="AJ251" s="93"/>
    </row>
    <row r="252" spans="30:36" ht="18">
      <c r="AD252" s="93"/>
      <c r="AE252" s="214"/>
      <c r="AF252" s="93"/>
      <c r="AG252" s="93"/>
      <c r="AH252" s="93"/>
      <c r="AI252" s="93"/>
      <c r="AJ252" s="93"/>
    </row>
    <row r="253" spans="30:36" ht="18">
      <c r="AD253" s="93"/>
      <c r="AE253" s="214"/>
      <c r="AF253" s="93"/>
      <c r="AG253" s="93"/>
      <c r="AH253" s="93"/>
      <c r="AI253" s="93"/>
      <c r="AJ253" s="93"/>
    </row>
    <row r="254" spans="30:36" ht="18">
      <c r="AD254" s="93"/>
      <c r="AE254" s="214"/>
      <c r="AF254" s="93"/>
      <c r="AG254" s="93"/>
      <c r="AH254" s="93"/>
      <c r="AI254" s="93"/>
      <c r="AJ254" s="93"/>
    </row>
    <row r="255" spans="30:36" ht="18">
      <c r="AD255" s="93"/>
      <c r="AE255" s="214"/>
      <c r="AF255" s="93"/>
      <c r="AG255" s="93"/>
      <c r="AH255" s="93"/>
      <c r="AI255" s="93"/>
      <c r="AJ255" s="93"/>
    </row>
    <row r="256" spans="30:36" ht="18">
      <c r="AD256" s="93"/>
      <c r="AE256" s="214"/>
      <c r="AF256" s="93"/>
      <c r="AG256" s="93"/>
      <c r="AH256" s="93"/>
      <c r="AI256" s="93"/>
      <c r="AJ256" s="93"/>
    </row>
    <row r="257" spans="30:36" ht="18">
      <c r="AD257" s="93"/>
      <c r="AE257" s="214"/>
      <c r="AF257" s="93"/>
      <c r="AG257" s="93"/>
      <c r="AH257" s="93"/>
      <c r="AI257" s="93"/>
      <c r="AJ257" s="93"/>
    </row>
    <row r="258" spans="30:36" ht="18">
      <c r="AD258" s="93"/>
      <c r="AE258" s="214"/>
      <c r="AF258" s="93"/>
      <c r="AG258" s="93"/>
      <c r="AH258" s="93"/>
      <c r="AI258" s="93"/>
      <c r="AJ258" s="93"/>
    </row>
    <row r="259" spans="30:36" ht="18">
      <c r="AD259" s="93"/>
      <c r="AE259" s="214"/>
      <c r="AF259" s="93"/>
      <c r="AG259" s="93"/>
      <c r="AH259" s="93"/>
      <c r="AI259" s="93"/>
      <c r="AJ259" s="93"/>
    </row>
    <row r="260" spans="30:36" ht="18">
      <c r="AD260" s="93"/>
      <c r="AE260" s="214"/>
      <c r="AF260" s="93"/>
      <c r="AG260" s="93"/>
      <c r="AH260" s="93"/>
      <c r="AI260" s="93"/>
      <c r="AJ260" s="93"/>
    </row>
    <row r="261" spans="30:36" ht="18">
      <c r="AD261" s="93"/>
      <c r="AE261" s="214"/>
      <c r="AF261" s="93"/>
      <c r="AG261" s="93"/>
      <c r="AH261" s="93"/>
      <c r="AI261" s="93"/>
      <c r="AJ261" s="93"/>
    </row>
    <row r="262" spans="30:36" ht="18">
      <c r="AD262" s="93"/>
      <c r="AE262" s="214"/>
      <c r="AF262" s="93"/>
      <c r="AG262" s="93"/>
      <c r="AH262" s="93"/>
      <c r="AI262" s="93"/>
      <c r="AJ262" s="93"/>
    </row>
    <row r="263" spans="30:36" ht="18">
      <c r="AD263" s="93"/>
      <c r="AE263" s="214"/>
      <c r="AF263" s="93"/>
      <c r="AG263" s="93"/>
      <c r="AH263" s="93"/>
      <c r="AI263" s="93"/>
      <c r="AJ263" s="93"/>
    </row>
    <row r="264" spans="30:36" ht="18">
      <c r="AD264" s="93"/>
      <c r="AE264" s="214"/>
      <c r="AF264" s="93"/>
      <c r="AG264" s="93"/>
      <c r="AH264" s="93"/>
      <c r="AI264" s="93"/>
      <c r="AJ264" s="93"/>
    </row>
    <row r="265" spans="30:36" ht="18">
      <c r="AD265" s="93"/>
      <c r="AE265" s="214"/>
      <c r="AF265" s="93"/>
      <c r="AG265" s="93"/>
      <c r="AH265" s="93"/>
      <c r="AI265" s="93"/>
      <c r="AJ265" s="93"/>
    </row>
    <row r="266" spans="30:36" ht="18">
      <c r="AD266" s="93"/>
      <c r="AE266" s="214"/>
      <c r="AF266" s="93"/>
      <c r="AG266" s="93"/>
      <c r="AH266" s="93"/>
      <c r="AI266" s="93"/>
      <c r="AJ266" s="93"/>
    </row>
    <row r="267" spans="30:36" ht="18">
      <c r="AD267" s="93"/>
      <c r="AE267" s="214"/>
      <c r="AF267" s="93"/>
      <c r="AG267" s="93"/>
      <c r="AH267" s="93"/>
      <c r="AI267" s="93"/>
      <c r="AJ267" s="93"/>
    </row>
    <row r="268" spans="30:36" ht="18">
      <c r="AD268" s="93"/>
      <c r="AE268" s="214"/>
      <c r="AF268" s="93"/>
      <c r="AG268" s="93"/>
      <c r="AH268" s="93"/>
      <c r="AI268" s="93"/>
      <c r="AJ268" s="93"/>
    </row>
    <row r="269" spans="30:36" ht="18">
      <c r="AD269" s="93"/>
      <c r="AE269" s="214"/>
      <c r="AF269" s="93"/>
      <c r="AG269" s="93"/>
      <c r="AH269" s="93"/>
      <c r="AI269" s="93"/>
      <c r="AJ269" s="93"/>
    </row>
    <row r="270" spans="30:36" ht="18">
      <c r="AD270" s="93"/>
      <c r="AE270" s="214"/>
      <c r="AF270" s="93"/>
      <c r="AG270" s="93"/>
      <c r="AH270" s="93"/>
      <c r="AI270" s="93"/>
      <c r="AJ270" s="93"/>
    </row>
    <row r="271" spans="30:36" ht="18">
      <c r="AD271" s="93"/>
      <c r="AE271" s="214"/>
      <c r="AF271" s="93"/>
      <c r="AG271" s="93"/>
      <c r="AH271" s="93"/>
      <c r="AI271" s="93"/>
      <c r="AJ271" s="93"/>
    </row>
    <row r="272" spans="30:36" ht="18">
      <c r="AD272" s="93"/>
      <c r="AE272" s="214"/>
      <c r="AF272" s="93"/>
      <c r="AG272" s="93"/>
      <c r="AH272" s="93"/>
      <c r="AI272" s="93"/>
      <c r="AJ272" s="93"/>
    </row>
    <row r="273" spans="30:36" ht="18">
      <c r="AD273" s="93"/>
      <c r="AE273" s="214"/>
      <c r="AF273" s="93"/>
      <c r="AG273" s="93"/>
      <c r="AH273" s="93"/>
      <c r="AI273" s="93"/>
      <c r="AJ273" s="93"/>
    </row>
    <row r="274" spans="30:36" ht="18">
      <c r="AD274" s="93"/>
      <c r="AE274" s="214"/>
      <c r="AF274" s="93"/>
      <c r="AG274" s="93"/>
      <c r="AH274" s="93"/>
      <c r="AI274" s="93"/>
      <c r="AJ274" s="93"/>
    </row>
    <row r="275" spans="30:36" ht="18">
      <c r="AD275" s="93"/>
      <c r="AE275" s="215"/>
      <c r="AF275" s="93"/>
      <c r="AG275" s="93"/>
      <c r="AH275" s="93"/>
      <c r="AI275" s="93"/>
      <c r="AJ275" s="93"/>
    </row>
    <row r="276" spans="30:36" ht="18">
      <c r="AD276" s="93"/>
      <c r="AE276" s="215"/>
      <c r="AF276" s="93"/>
      <c r="AG276" s="93"/>
      <c r="AH276" s="93"/>
      <c r="AI276" s="93"/>
      <c r="AJ276" s="93"/>
    </row>
    <row r="277" spans="30:36" ht="18">
      <c r="AD277" s="93"/>
      <c r="AE277" s="214"/>
      <c r="AF277" s="93"/>
      <c r="AG277" s="93"/>
      <c r="AH277" s="93"/>
      <c r="AI277" s="93"/>
      <c r="AJ277" s="93"/>
    </row>
    <row r="278" spans="30:36" ht="18">
      <c r="AD278" s="93"/>
      <c r="AE278" s="214"/>
      <c r="AF278" s="93"/>
      <c r="AG278" s="93"/>
      <c r="AH278" s="93"/>
      <c r="AI278" s="93"/>
      <c r="AJ278" s="93"/>
    </row>
    <row r="279" spans="30:36" ht="18">
      <c r="AD279" s="93"/>
      <c r="AE279" s="214"/>
      <c r="AF279" s="93"/>
      <c r="AG279" s="93"/>
      <c r="AH279" s="93"/>
      <c r="AI279" s="93"/>
      <c r="AJ279" s="93"/>
    </row>
    <row r="280" spans="30:36" ht="18">
      <c r="AD280" s="93"/>
      <c r="AE280" s="214"/>
      <c r="AF280" s="93"/>
      <c r="AG280" s="93"/>
      <c r="AH280" s="93"/>
      <c r="AI280" s="93"/>
      <c r="AJ280" s="93"/>
    </row>
    <row r="281" spans="30:36" ht="18">
      <c r="AD281" s="93"/>
      <c r="AE281" s="214"/>
      <c r="AF281" s="93"/>
      <c r="AG281" s="93"/>
      <c r="AH281" s="93"/>
      <c r="AI281" s="93"/>
      <c r="AJ281" s="93"/>
    </row>
    <row r="282" spans="30:36" ht="18">
      <c r="AD282" s="93"/>
      <c r="AE282" s="214"/>
      <c r="AF282" s="93"/>
      <c r="AG282" s="93"/>
      <c r="AH282" s="93"/>
      <c r="AI282" s="93"/>
      <c r="AJ282" s="93"/>
    </row>
    <row r="283" spans="30:36" ht="18">
      <c r="AD283" s="93"/>
      <c r="AE283" s="215"/>
      <c r="AF283" s="93"/>
      <c r="AG283" s="93"/>
      <c r="AH283" s="93"/>
      <c r="AI283" s="93"/>
      <c r="AJ283" s="93"/>
    </row>
    <row r="284" spans="30:36" ht="18">
      <c r="AD284" s="93"/>
      <c r="AE284" s="215"/>
      <c r="AF284" s="93"/>
      <c r="AG284" s="93"/>
      <c r="AH284" s="93"/>
      <c r="AI284" s="93"/>
      <c r="AJ284" s="93"/>
    </row>
    <row r="285" spans="30:36" ht="18">
      <c r="AD285" s="93"/>
      <c r="AE285" s="214"/>
      <c r="AF285" s="93"/>
      <c r="AG285" s="93"/>
      <c r="AH285" s="93"/>
      <c r="AI285" s="93"/>
      <c r="AJ285" s="93"/>
    </row>
    <row r="286" spans="30:36" ht="18">
      <c r="AD286" s="93"/>
      <c r="AE286" s="214"/>
      <c r="AF286" s="93"/>
      <c r="AG286" s="93"/>
      <c r="AH286" s="93"/>
      <c r="AI286" s="93"/>
      <c r="AJ286" s="93"/>
    </row>
    <row r="287" spans="30:36" ht="18">
      <c r="AD287" s="93"/>
      <c r="AE287" s="214"/>
      <c r="AF287" s="93"/>
      <c r="AG287" s="93"/>
      <c r="AH287" s="93"/>
      <c r="AI287" s="93"/>
      <c r="AJ287" s="93"/>
    </row>
    <row r="288" spans="30:36" ht="18">
      <c r="AD288" s="93"/>
      <c r="AE288" s="214"/>
      <c r="AF288" s="93"/>
      <c r="AG288" s="93"/>
      <c r="AH288" s="93"/>
      <c r="AI288" s="93"/>
      <c r="AJ288" s="93"/>
    </row>
    <row r="289" spans="30:36" ht="18">
      <c r="AD289" s="93"/>
      <c r="AE289" s="214"/>
      <c r="AF289" s="93"/>
      <c r="AG289" s="93"/>
      <c r="AH289" s="93"/>
      <c r="AI289" s="93"/>
      <c r="AJ289" s="93"/>
    </row>
    <row r="290" spans="30:36" ht="18">
      <c r="AD290" s="93"/>
      <c r="AE290" s="214"/>
      <c r="AF290" s="93"/>
      <c r="AG290" s="93"/>
      <c r="AH290" s="93"/>
      <c r="AI290" s="93"/>
      <c r="AJ290" s="93"/>
    </row>
    <row r="291" spans="30:36" ht="18">
      <c r="AD291" s="93"/>
      <c r="AE291" s="214"/>
      <c r="AF291" s="93"/>
      <c r="AG291" s="93"/>
      <c r="AH291" s="93"/>
      <c r="AI291" s="93"/>
      <c r="AJ291" s="93"/>
    </row>
    <row r="292" spans="30:36" ht="18">
      <c r="AD292" s="93"/>
      <c r="AE292" s="214"/>
      <c r="AF292" s="93"/>
      <c r="AG292" s="93"/>
      <c r="AH292" s="93"/>
      <c r="AI292" s="93"/>
      <c r="AJ292" s="93"/>
    </row>
    <row r="293" spans="30:36" ht="18">
      <c r="AD293" s="93"/>
      <c r="AE293" s="214"/>
      <c r="AF293" s="93"/>
      <c r="AG293" s="93"/>
      <c r="AH293" s="93"/>
      <c r="AI293" s="93"/>
      <c r="AJ293" s="93"/>
    </row>
    <row r="294" spans="30:36" ht="18">
      <c r="AD294" s="93"/>
      <c r="AE294" s="214"/>
      <c r="AF294" s="93"/>
      <c r="AG294" s="93"/>
      <c r="AH294" s="93"/>
      <c r="AI294" s="93"/>
      <c r="AJ294" s="93"/>
    </row>
    <row r="295" spans="30:36" ht="18">
      <c r="AD295" s="93"/>
      <c r="AE295" s="214"/>
      <c r="AF295" s="93"/>
      <c r="AG295" s="93"/>
      <c r="AH295" s="93"/>
      <c r="AI295" s="93"/>
      <c r="AJ295" s="93"/>
    </row>
    <row r="296" spans="30:36" ht="18">
      <c r="AD296" s="93"/>
      <c r="AE296" s="214"/>
      <c r="AF296" s="93"/>
      <c r="AG296" s="93"/>
      <c r="AH296" s="93"/>
      <c r="AI296" s="93"/>
      <c r="AJ296" s="93"/>
    </row>
    <row r="297" spans="30:36" ht="18">
      <c r="AD297" s="93"/>
      <c r="AE297" s="214"/>
      <c r="AF297" s="93"/>
      <c r="AG297" s="93"/>
      <c r="AH297" s="93"/>
      <c r="AI297" s="93"/>
      <c r="AJ297" s="93"/>
    </row>
    <row r="298" spans="30:36" ht="18">
      <c r="AD298" s="93"/>
      <c r="AE298" s="214"/>
      <c r="AF298" s="93"/>
      <c r="AG298" s="93"/>
      <c r="AH298" s="93"/>
      <c r="AI298" s="93"/>
      <c r="AJ298" s="93"/>
    </row>
    <row r="299" spans="30:36" ht="18">
      <c r="AD299" s="93"/>
      <c r="AE299" s="214"/>
      <c r="AF299" s="93"/>
      <c r="AG299" s="93"/>
      <c r="AH299" s="93"/>
      <c r="AI299" s="93"/>
      <c r="AJ299" s="93"/>
    </row>
    <row r="300" spans="30:36" ht="18">
      <c r="AD300" s="93"/>
      <c r="AE300" s="214"/>
      <c r="AF300" s="93"/>
      <c r="AG300" s="93"/>
      <c r="AH300" s="93"/>
      <c r="AI300" s="93"/>
      <c r="AJ300" s="93"/>
    </row>
    <row r="301" spans="30:36" ht="18">
      <c r="AD301" s="93"/>
      <c r="AE301" s="214"/>
      <c r="AF301" s="93"/>
      <c r="AG301" s="93"/>
      <c r="AH301" s="93"/>
      <c r="AI301" s="93"/>
      <c r="AJ301" s="93"/>
    </row>
    <row r="302" spans="30:36" ht="18">
      <c r="AD302" s="93"/>
      <c r="AE302" s="214"/>
      <c r="AF302" s="93"/>
      <c r="AG302" s="93"/>
      <c r="AH302" s="93"/>
      <c r="AI302" s="93"/>
      <c r="AJ302" s="93"/>
    </row>
    <row r="303" spans="30:36" ht="18">
      <c r="AD303" s="93"/>
      <c r="AE303" s="214"/>
      <c r="AF303" s="93"/>
      <c r="AG303" s="93"/>
      <c r="AH303" s="93"/>
      <c r="AI303" s="93"/>
      <c r="AJ303" s="93"/>
    </row>
    <row r="304" spans="30:36" ht="18">
      <c r="AD304" s="93"/>
      <c r="AE304" s="214"/>
      <c r="AF304" s="93"/>
      <c r="AG304" s="93"/>
      <c r="AH304" s="93"/>
      <c r="AI304" s="93"/>
      <c r="AJ304" s="93"/>
    </row>
    <row r="305" spans="30:36" ht="18">
      <c r="AD305" s="93"/>
      <c r="AE305" s="214"/>
      <c r="AF305" s="93"/>
      <c r="AG305" s="93"/>
      <c r="AH305" s="93"/>
      <c r="AI305" s="93"/>
      <c r="AJ305" s="93"/>
    </row>
    <row r="306" spans="30:36" ht="18">
      <c r="AD306" s="93"/>
      <c r="AE306" s="214"/>
      <c r="AF306" s="93"/>
      <c r="AG306" s="93"/>
      <c r="AH306" s="93"/>
      <c r="AI306" s="93"/>
      <c r="AJ306" s="93"/>
    </row>
    <row r="307" spans="30:36" ht="18">
      <c r="AD307" s="93"/>
      <c r="AE307" s="214"/>
      <c r="AF307" s="93"/>
      <c r="AG307" s="93"/>
      <c r="AH307" s="93"/>
      <c r="AI307" s="93"/>
      <c r="AJ307" s="93"/>
    </row>
    <row r="308" spans="30:36" ht="18">
      <c r="AD308" s="93"/>
      <c r="AE308" s="214"/>
      <c r="AF308" s="93"/>
      <c r="AG308" s="93"/>
      <c r="AH308" s="93"/>
      <c r="AI308" s="93"/>
      <c r="AJ308" s="93"/>
    </row>
    <row r="309" spans="30:36" ht="18">
      <c r="AD309" s="93"/>
      <c r="AE309" s="214"/>
      <c r="AF309" s="93"/>
      <c r="AG309" s="93"/>
      <c r="AH309" s="93"/>
      <c r="AI309" s="93"/>
      <c r="AJ309" s="93"/>
    </row>
    <row r="310" spans="30:36" ht="18">
      <c r="AD310" s="93"/>
      <c r="AE310" s="214"/>
      <c r="AF310" s="93"/>
      <c r="AG310" s="93"/>
      <c r="AH310" s="93"/>
      <c r="AI310" s="93"/>
      <c r="AJ310" s="93"/>
    </row>
    <row r="311" spans="30:36" ht="18">
      <c r="AD311" s="93"/>
      <c r="AE311" s="214"/>
      <c r="AF311" s="93"/>
      <c r="AG311" s="93"/>
      <c r="AH311" s="93"/>
      <c r="AI311" s="93"/>
      <c r="AJ311" s="93"/>
    </row>
    <row r="312" spans="30:36" ht="18">
      <c r="AD312" s="93"/>
      <c r="AE312" s="214"/>
      <c r="AF312" s="93"/>
      <c r="AG312" s="93"/>
      <c r="AH312" s="93"/>
      <c r="AI312" s="93"/>
      <c r="AJ312" s="93"/>
    </row>
    <row r="313" spans="30:36" ht="18">
      <c r="AD313" s="93"/>
      <c r="AE313" s="214"/>
      <c r="AF313" s="93"/>
      <c r="AG313" s="93"/>
      <c r="AH313" s="93"/>
      <c r="AI313" s="93"/>
      <c r="AJ313" s="93"/>
    </row>
    <row r="314" spans="30:36" ht="18">
      <c r="AD314" s="93"/>
      <c r="AE314" s="214"/>
      <c r="AF314" s="93"/>
      <c r="AG314" s="93"/>
      <c r="AH314" s="93"/>
      <c r="AI314" s="93"/>
      <c r="AJ314" s="93"/>
    </row>
    <row r="315" spans="30:36" ht="18">
      <c r="AD315" s="93"/>
      <c r="AE315" s="214"/>
      <c r="AF315" s="93"/>
      <c r="AG315" s="93"/>
      <c r="AH315" s="93"/>
      <c r="AI315" s="93"/>
      <c r="AJ315" s="93"/>
    </row>
    <row r="316" spans="30:36" ht="18">
      <c r="AD316" s="93"/>
      <c r="AE316" s="214"/>
      <c r="AF316" s="93"/>
      <c r="AG316" s="93"/>
      <c r="AH316" s="93"/>
      <c r="AI316" s="93"/>
      <c r="AJ316" s="93"/>
    </row>
    <row r="317" spans="30:36" ht="18">
      <c r="AD317" s="93"/>
      <c r="AE317" s="214"/>
      <c r="AF317" s="93"/>
      <c r="AG317" s="93"/>
      <c r="AH317" s="93"/>
      <c r="AI317" s="93"/>
      <c r="AJ317" s="93"/>
    </row>
    <row r="318" spans="30:36" ht="18">
      <c r="AD318" s="93"/>
      <c r="AE318" s="214"/>
      <c r="AF318" s="93"/>
      <c r="AG318" s="93"/>
      <c r="AH318" s="93"/>
      <c r="AI318" s="93"/>
      <c r="AJ318" s="93"/>
    </row>
    <row r="319" spans="30:36" ht="18">
      <c r="AD319" s="93"/>
      <c r="AE319" s="214"/>
      <c r="AF319" s="93"/>
      <c r="AG319" s="93"/>
      <c r="AH319" s="93"/>
      <c r="AI319" s="93"/>
      <c r="AJ319" s="93"/>
    </row>
    <row r="320" spans="30:36" ht="18">
      <c r="AD320" s="93"/>
      <c r="AE320" s="214"/>
      <c r="AF320" s="93"/>
      <c r="AG320" s="93"/>
      <c r="AH320" s="93"/>
      <c r="AI320" s="93"/>
      <c r="AJ320" s="93"/>
    </row>
    <row r="321" spans="30:36" ht="18">
      <c r="AD321" s="93"/>
      <c r="AE321" s="214"/>
      <c r="AF321" s="93"/>
      <c r="AG321" s="93"/>
      <c r="AH321" s="93"/>
      <c r="AI321" s="93"/>
      <c r="AJ321" s="93"/>
    </row>
    <row r="322" spans="30:36" ht="18">
      <c r="AD322" s="93"/>
      <c r="AE322" s="214"/>
      <c r="AF322" s="93"/>
      <c r="AG322" s="93"/>
      <c r="AH322" s="93"/>
      <c r="AI322" s="93"/>
      <c r="AJ322" s="93"/>
    </row>
    <row r="323" spans="30:36" ht="18">
      <c r="AD323" s="93"/>
      <c r="AE323" s="214"/>
      <c r="AF323" s="93"/>
      <c r="AG323" s="93"/>
      <c r="AH323" s="93"/>
      <c r="AI323" s="93"/>
      <c r="AJ323" s="93"/>
    </row>
    <row r="324" spans="30:36" ht="18">
      <c r="AD324" s="93"/>
      <c r="AE324" s="214"/>
      <c r="AF324" s="93"/>
      <c r="AG324" s="93"/>
      <c r="AH324" s="93"/>
      <c r="AI324" s="93"/>
      <c r="AJ324" s="93"/>
    </row>
    <row r="325" spans="30:36" ht="18">
      <c r="AD325" s="93"/>
      <c r="AE325" s="214"/>
      <c r="AF325" s="93"/>
      <c r="AG325" s="93"/>
      <c r="AH325" s="93"/>
      <c r="AI325" s="93"/>
      <c r="AJ325" s="93"/>
    </row>
    <row r="326" spans="30:36" ht="18">
      <c r="AD326" s="93"/>
      <c r="AE326" s="214"/>
      <c r="AF326" s="93"/>
      <c r="AG326" s="93"/>
      <c r="AH326" s="93"/>
      <c r="AI326" s="93"/>
      <c r="AJ326" s="93"/>
    </row>
    <row r="327" spans="30:36" ht="18">
      <c r="AD327" s="93"/>
      <c r="AE327" s="214"/>
      <c r="AF327" s="93"/>
      <c r="AG327" s="93"/>
      <c r="AH327" s="93"/>
      <c r="AI327" s="93"/>
      <c r="AJ327" s="93"/>
    </row>
    <row r="328" spans="30:36" ht="18">
      <c r="AD328" s="93"/>
      <c r="AE328" s="214"/>
      <c r="AF328" s="93"/>
      <c r="AG328" s="93"/>
      <c r="AH328" s="93"/>
      <c r="AI328" s="93"/>
      <c r="AJ328" s="93"/>
    </row>
    <row r="329" spans="30:36" ht="18">
      <c r="AD329" s="93"/>
      <c r="AE329" s="214"/>
      <c r="AF329" s="93"/>
      <c r="AG329" s="93"/>
      <c r="AH329" s="93"/>
      <c r="AI329" s="93"/>
      <c r="AJ329" s="93"/>
    </row>
    <row r="330" spans="30:36" ht="18">
      <c r="AD330" s="93"/>
      <c r="AE330" s="214"/>
      <c r="AF330" s="93"/>
      <c r="AG330" s="93"/>
      <c r="AH330" s="93"/>
      <c r="AI330" s="93"/>
      <c r="AJ330" s="93"/>
    </row>
    <row r="331" spans="30:36" ht="18">
      <c r="AD331" s="93"/>
      <c r="AE331" s="214"/>
      <c r="AF331" s="93"/>
      <c r="AG331" s="93"/>
      <c r="AH331" s="93"/>
      <c r="AI331" s="93"/>
      <c r="AJ331" s="93"/>
    </row>
    <row r="332" spans="30:36" ht="18">
      <c r="AD332" s="93"/>
      <c r="AE332" s="214"/>
      <c r="AF332" s="93"/>
      <c r="AG332" s="93"/>
      <c r="AH332" s="93"/>
      <c r="AI332" s="93"/>
      <c r="AJ332" s="93"/>
    </row>
    <row r="333" spans="30:36" ht="18">
      <c r="AD333" s="93"/>
      <c r="AE333" s="214"/>
      <c r="AF333" s="93"/>
      <c r="AG333" s="93"/>
      <c r="AH333" s="93"/>
      <c r="AI333" s="93"/>
      <c r="AJ333" s="93"/>
    </row>
    <row r="334" spans="30:36" ht="18">
      <c r="AD334" s="93"/>
      <c r="AE334" s="214"/>
      <c r="AF334" s="93"/>
      <c r="AG334" s="93"/>
      <c r="AH334" s="93"/>
      <c r="AI334" s="93"/>
      <c r="AJ334" s="93"/>
    </row>
    <row r="335" spans="30:36" ht="18">
      <c r="AD335" s="93"/>
      <c r="AE335" s="214"/>
      <c r="AF335" s="93"/>
      <c r="AG335" s="93"/>
      <c r="AH335" s="93"/>
      <c r="AI335" s="93"/>
      <c r="AJ335" s="93"/>
    </row>
    <row r="336" spans="30:36" ht="18">
      <c r="AD336" s="93"/>
      <c r="AE336" s="214"/>
      <c r="AF336" s="93"/>
      <c r="AG336" s="93"/>
      <c r="AH336" s="93"/>
      <c r="AI336" s="93"/>
      <c r="AJ336" s="93"/>
    </row>
    <row r="337" spans="30:36" ht="18">
      <c r="AD337" s="93"/>
      <c r="AE337" s="214"/>
      <c r="AF337" s="93"/>
      <c r="AG337" s="93"/>
      <c r="AH337" s="93"/>
      <c r="AI337" s="93"/>
      <c r="AJ337" s="93"/>
    </row>
    <row r="338" spans="30:36" ht="18">
      <c r="AD338" s="93"/>
      <c r="AE338" s="214"/>
      <c r="AF338" s="93"/>
      <c r="AG338" s="93"/>
      <c r="AH338" s="93"/>
      <c r="AI338" s="93"/>
      <c r="AJ338" s="93"/>
    </row>
    <row r="339" spans="30:36" ht="18">
      <c r="AD339" s="93"/>
      <c r="AE339" s="215"/>
      <c r="AF339" s="93"/>
      <c r="AG339" s="93"/>
      <c r="AH339" s="93"/>
      <c r="AI339" s="93"/>
      <c r="AJ339" s="93"/>
    </row>
    <row r="340" spans="30:36" ht="18">
      <c r="AD340" s="93"/>
      <c r="AE340" s="214"/>
      <c r="AF340" s="93"/>
      <c r="AG340" s="93"/>
      <c r="AH340" s="93"/>
      <c r="AI340" s="93"/>
      <c r="AJ340" s="93"/>
    </row>
    <row r="341" spans="30:36" ht="18">
      <c r="AD341" s="93"/>
      <c r="AE341" s="214"/>
      <c r="AF341" s="93"/>
      <c r="AG341" s="93"/>
      <c r="AH341" s="93"/>
      <c r="AI341" s="93"/>
      <c r="AJ341" s="93"/>
    </row>
    <row r="342" spans="30:36" ht="18">
      <c r="AD342" s="93"/>
      <c r="AE342" s="214"/>
      <c r="AF342" s="93"/>
      <c r="AG342" s="93"/>
      <c r="AH342" s="93"/>
      <c r="AI342" s="93"/>
      <c r="AJ342" s="93"/>
    </row>
    <row r="343" spans="30:36" ht="18">
      <c r="AD343" s="93"/>
      <c r="AE343" s="214"/>
      <c r="AF343" s="93"/>
      <c r="AG343" s="93"/>
      <c r="AH343" s="93"/>
      <c r="AI343" s="93"/>
      <c r="AJ343" s="93"/>
    </row>
    <row r="344" spans="30:36" ht="18">
      <c r="AD344" s="93"/>
      <c r="AE344" s="215"/>
      <c r="AF344" s="93"/>
      <c r="AG344" s="93"/>
      <c r="AH344" s="93"/>
      <c r="AI344" s="93"/>
      <c r="AJ344" s="93"/>
    </row>
    <row r="345" spans="30:36" ht="18">
      <c r="AD345" s="93"/>
      <c r="AE345" s="215"/>
      <c r="AF345" s="93"/>
      <c r="AG345" s="93"/>
      <c r="AH345" s="93"/>
      <c r="AI345" s="93"/>
      <c r="AJ345" s="93"/>
    </row>
    <row r="346" spans="30:36" ht="18">
      <c r="AD346" s="93"/>
      <c r="AE346" s="214"/>
      <c r="AF346" s="93"/>
      <c r="AG346" s="93"/>
      <c r="AH346" s="93"/>
      <c r="AI346" s="93"/>
      <c r="AJ346" s="93"/>
    </row>
    <row r="347" spans="30:36" ht="18">
      <c r="AD347" s="93"/>
      <c r="AE347" s="214"/>
      <c r="AF347" s="93"/>
      <c r="AG347" s="93"/>
      <c r="AH347" s="93"/>
      <c r="AI347" s="93"/>
      <c r="AJ347" s="93"/>
    </row>
    <row r="348" spans="30:36" ht="18">
      <c r="AD348" s="93"/>
      <c r="AE348" s="214"/>
      <c r="AF348" s="93"/>
      <c r="AG348" s="93"/>
      <c r="AH348" s="93"/>
      <c r="AI348" s="93"/>
      <c r="AJ348" s="93"/>
    </row>
    <row r="349" spans="30:36" ht="18">
      <c r="AD349" s="93"/>
      <c r="AE349" s="214"/>
      <c r="AF349" s="93"/>
      <c r="AG349" s="93"/>
      <c r="AH349" s="93"/>
      <c r="AI349" s="93"/>
      <c r="AJ349" s="93"/>
    </row>
    <row r="350" spans="30:36" ht="18">
      <c r="AD350" s="93"/>
      <c r="AE350" s="214"/>
      <c r="AF350" s="93"/>
      <c r="AG350" s="93"/>
      <c r="AH350" s="93"/>
      <c r="AI350" s="93"/>
      <c r="AJ350" s="93"/>
    </row>
    <row r="351" spans="30:36" ht="18">
      <c r="AD351" s="93"/>
      <c r="AE351" s="214"/>
      <c r="AF351" s="93"/>
      <c r="AG351" s="93"/>
      <c r="AH351" s="93"/>
      <c r="AI351" s="93"/>
      <c r="AJ351" s="93"/>
    </row>
    <row r="352" spans="30:36" ht="18">
      <c r="AD352" s="93"/>
      <c r="AE352" s="214"/>
      <c r="AF352" s="93"/>
      <c r="AG352" s="93"/>
      <c r="AH352" s="93"/>
      <c r="AI352" s="93"/>
      <c r="AJ352" s="93"/>
    </row>
    <row r="353" spans="30:36" ht="18">
      <c r="AD353" s="93"/>
      <c r="AE353" s="214"/>
      <c r="AF353" s="93"/>
      <c r="AG353" s="93"/>
      <c r="AH353" s="93"/>
      <c r="AI353" s="93"/>
      <c r="AJ353" s="93"/>
    </row>
    <row r="354" spans="30:36" ht="18">
      <c r="AD354" s="93"/>
      <c r="AE354" s="215"/>
      <c r="AF354" s="93"/>
      <c r="AG354" s="93"/>
      <c r="AH354" s="93"/>
      <c r="AI354" s="93"/>
      <c r="AJ354" s="93"/>
    </row>
    <row r="355" spans="30:36" ht="18">
      <c r="AD355" s="93"/>
      <c r="AE355" s="215"/>
      <c r="AF355" s="93"/>
      <c r="AG355" s="93"/>
      <c r="AH355" s="93"/>
      <c r="AI355" s="93"/>
      <c r="AJ355" s="93"/>
    </row>
    <row r="356" spans="30:36" ht="18">
      <c r="AD356" s="93"/>
      <c r="AE356" s="215"/>
      <c r="AF356" s="93"/>
      <c r="AG356" s="93"/>
      <c r="AH356" s="93"/>
      <c r="AI356" s="93"/>
      <c r="AJ356" s="93"/>
    </row>
    <row r="357" spans="30:36" ht="18">
      <c r="AD357" s="93"/>
      <c r="AE357" s="214"/>
      <c r="AF357" s="93"/>
      <c r="AG357" s="93"/>
      <c r="AH357" s="93"/>
      <c r="AI357" s="93"/>
      <c r="AJ357" s="93"/>
    </row>
    <row r="358" spans="30:36" ht="18">
      <c r="AD358" s="93"/>
      <c r="AE358" s="214"/>
      <c r="AF358" s="93"/>
      <c r="AG358" s="93"/>
      <c r="AH358" s="93"/>
      <c r="AI358" s="93"/>
      <c r="AJ358" s="93"/>
    </row>
    <row r="359" spans="30:36" ht="18">
      <c r="AD359" s="93"/>
      <c r="AE359" s="215"/>
      <c r="AF359" s="93"/>
      <c r="AG359" s="93"/>
      <c r="AH359" s="93"/>
      <c r="AI359" s="93"/>
      <c r="AJ359" s="93"/>
    </row>
    <row r="360" spans="30:36" ht="18">
      <c r="AD360" s="93"/>
      <c r="AE360" s="214"/>
      <c r="AF360" s="93"/>
      <c r="AG360" s="93"/>
      <c r="AH360" s="93"/>
      <c r="AI360" s="93"/>
      <c r="AJ360" s="93"/>
    </row>
    <row r="361" spans="30:36" ht="18">
      <c r="AD361" s="93"/>
      <c r="AE361" s="214"/>
      <c r="AF361" s="93"/>
      <c r="AG361" s="93"/>
      <c r="AH361" s="93"/>
      <c r="AI361" s="93"/>
      <c r="AJ361" s="93"/>
    </row>
    <row r="362" spans="30:36" ht="18">
      <c r="AD362" s="93"/>
      <c r="AE362" s="215"/>
      <c r="AF362" s="93"/>
      <c r="AG362" s="93"/>
      <c r="AH362" s="93"/>
      <c r="AI362" s="93"/>
      <c r="AJ362" s="93"/>
    </row>
    <row r="363" spans="30:36" ht="18">
      <c r="AD363" s="93"/>
      <c r="AE363" s="214"/>
      <c r="AF363" s="93"/>
      <c r="AG363" s="93"/>
      <c r="AH363" s="93"/>
      <c r="AI363" s="93"/>
      <c r="AJ363" s="93"/>
    </row>
    <row r="364" spans="30:36" ht="18">
      <c r="AD364" s="93"/>
      <c r="AE364" s="214"/>
      <c r="AF364" s="93"/>
      <c r="AG364" s="93"/>
      <c r="AH364" s="93"/>
      <c r="AI364" s="93"/>
      <c r="AJ364" s="93"/>
    </row>
    <row r="365" spans="30:36" ht="18">
      <c r="AD365" s="93"/>
      <c r="AE365" s="215"/>
      <c r="AF365" s="93"/>
      <c r="AG365" s="93"/>
      <c r="AH365" s="93"/>
      <c r="AI365" s="93"/>
      <c r="AJ365" s="93"/>
    </row>
    <row r="366" spans="30:36" ht="18">
      <c r="AD366" s="93"/>
      <c r="AE366" s="214"/>
      <c r="AF366" s="93"/>
      <c r="AG366" s="93"/>
      <c r="AH366" s="93"/>
      <c r="AI366" s="93"/>
      <c r="AJ366" s="93"/>
    </row>
    <row r="367" spans="30:36" ht="18">
      <c r="AD367" s="93"/>
      <c r="AE367" s="214"/>
      <c r="AF367" s="93"/>
      <c r="AG367" s="93"/>
      <c r="AH367" s="93"/>
      <c r="AI367" s="93"/>
      <c r="AJ367" s="93"/>
    </row>
    <row r="368" spans="30:36" ht="18">
      <c r="AD368" s="93"/>
      <c r="AE368" s="215"/>
      <c r="AF368" s="93"/>
      <c r="AG368" s="93"/>
      <c r="AH368" s="93"/>
      <c r="AI368" s="93"/>
      <c r="AJ368" s="93"/>
    </row>
    <row r="369" spans="30:36" ht="18">
      <c r="AD369" s="93"/>
      <c r="AE369" s="214"/>
      <c r="AF369" s="93"/>
      <c r="AG369" s="93"/>
      <c r="AH369" s="93"/>
      <c r="AI369" s="93"/>
      <c r="AJ369" s="93"/>
    </row>
    <row r="370" spans="30:36" ht="18">
      <c r="AD370" s="93"/>
      <c r="AE370" s="214"/>
      <c r="AF370" s="93"/>
      <c r="AG370" s="93"/>
      <c r="AH370" s="93"/>
      <c r="AI370" s="93"/>
      <c r="AJ370" s="93"/>
    </row>
    <row r="371" spans="30:36" ht="18">
      <c r="AD371" s="93"/>
      <c r="AE371" s="214"/>
      <c r="AF371" s="93"/>
      <c r="AG371" s="93"/>
      <c r="AH371" s="93"/>
      <c r="AI371" s="93"/>
      <c r="AJ371" s="93"/>
    </row>
    <row r="372" spans="30:36" ht="18">
      <c r="AD372" s="93"/>
      <c r="AE372" s="214"/>
      <c r="AF372" s="93"/>
      <c r="AG372" s="93"/>
      <c r="AH372" s="93"/>
      <c r="AI372" s="93"/>
      <c r="AJ372" s="93"/>
    </row>
    <row r="373" spans="30:36" ht="18">
      <c r="AD373" s="93"/>
      <c r="AE373" s="214"/>
      <c r="AF373" s="93"/>
      <c r="AG373" s="93"/>
      <c r="AH373" s="93"/>
      <c r="AI373" s="93"/>
      <c r="AJ373" s="93"/>
    </row>
    <row r="374" spans="30:36" ht="18">
      <c r="AD374" s="93"/>
      <c r="AE374" s="215"/>
      <c r="AF374" s="93"/>
      <c r="AG374" s="93"/>
      <c r="AH374" s="93"/>
      <c r="AI374" s="93"/>
      <c r="AJ374" s="93"/>
    </row>
    <row r="375" spans="30:36" ht="18">
      <c r="AD375" s="93"/>
      <c r="AE375" s="215"/>
      <c r="AF375" s="93"/>
      <c r="AG375" s="93"/>
      <c r="AH375" s="93"/>
      <c r="AI375" s="93"/>
      <c r="AJ375" s="93"/>
    </row>
    <row r="376" spans="30:36" ht="18">
      <c r="AD376" s="93"/>
      <c r="AE376" s="214"/>
      <c r="AF376" s="93"/>
      <c r="AG376" s="93"/>
      <c r="AH376" s="93"/>
      <c r="AI376" s="93"/>
      <c r="AJ376" s="93"/>
    </row>
    <row r="377" spans="30:36" ht="18">
      <c r="AD377" s="93"/>
      <c r="AE377" s="214"/>
      <c r="AF377" s="93"/>
      <c r="AG377" s="93"/>
      <c r="AH377" s="93"/>
      <c r="AI377" s="93"/>
      <c r="AJ377" s="93"/>
    </row>
    <row r="378" spans="30:36" ht="18">
      <c r="AD378" s="93"/>
      <c r="AE378" s="214"/>
      <c r="AF378" s="93"/>
      <c r="AG378" s="93"/>
      <c r="AH378" s="93"/>
      <c r="AI378" s="93"/>
      <c r="AJ378" s="93"/>
    </row>
    <row r="379" spans="30:36" ht="18">
      <c r="AD379" s="93"/>
      <c r="AE379" s="214"/>
      <c r="AF379" s="93"/>
      <c r="AG379" s="93"/>
      <c r="AH379" s="93"/>
      <c r="AI379" s="93"/>
      <c r="AJ379" s="93"/>
    </row>
    <row r="380" spans="30:36" ht="18">
      <c r="AD380" s="93"/>
      <c r="AE380" s="214"/>
      <c r="AF380" s="93"/>
      <c r="AG380" s="93"/>
      <c r="AH380" s="93"/>
      <c r="AI380" s="93"/>
      <c r="AJ380" s="93"/>
    </row>
    <row r="381" spans="30:36" ht="18">
      <c r="AD381" s="93"/>
      <c r="AE381" s="215"/>
      <c r="AF381" s="93"/>
      <c r="AG381" s="93"/>
      <c r="AH381" s="93"/>
      <c r="AI381" s="93"/>
      <c r="AJ381" s="93"/>
    </row>
    <row r="382" spans="30:36" ht="18">
      <c r="AD382" s="93"/>
      <c r="AE382" s="215"/>
      <c r="AF382" s="93"/>
      <c r="AG382" s="93"/>
      <c r="AH382" s="93"/>
      <c r="AI382" s="93"/>
      <c r="AJ382" s="93"/>
    </row>
    <row r="383" spans="30:36" ht="18">
      <c r="AD383" s="93"/>
      <c r="AE383" s="214"/>
      <c r="AF383" s="93"/>
      <c r="AG383" s="93"/>
      <c r="AH383" s="93"/>
      <c r="AI383" s="93"/>
      <c r="AJ383" s="93"/>
    </row>
    <row r="384" spans="30:36" ht="18">
      <c r="AD384" s="93"/>
      <c r="AE384" s="214"/>
      <c r="AF384" s="93"/>
      <c r="AG384" s="93"/>
      <c r="AH384" s="93"/>
      <c r="AI384" s="93"/>
      <c r="AJ384" s="93"/>
    </row>
    <row r="385" spans="30:36" ht="18">
      <c r="AD385" s="93"/>
      <c r="AE385" s="214"/>
      <c r="AF385" s="93"/>
      <c r="AG385" s="93"/>
      <c r="AH385" s="93"/>
      <c r="AI385" s="93"/>
      <c r="AJ385" s="93"/>
    </row>
    <row r="386" spans="30:36" ht="18">
      <c r="AD386" s="93"/>
      <c r="AE386" s="214"/>
      <c r="AF386" s="93"/>
      <c r="AG386" s="93"/>
      <c r="AH386" s="93"/>
      <c r="AI386" s="93"/>
      <c r="AJ386" s="93"/>
    </row>
    <row r="387" spans="30:36" ht="18">
      <c r="AD387" s="93"/>
      <c r="AE387" s="214"/>
      <c r="AF387" s="93"/>
      <c r="AG387" s="93"/>
      <c r="AH387" s="93"/>
      <c r="AI387" s="93"/>
      <c r="AJ387" s="93"/>
    </row>
    <row r="388" spans="30:36" ht="18">
      <c r="AD388" s="93"/>
      <c r="AE388" s="214"/>
      <c r="AF388" s="93"/>
      <c r="AG388" s="93"/>
      <c r="AH388" s="93"/>
      <c r="AI388" s="93"/>
      <c r="AJ388" s="93"/>
    </row>
    <row r="389" spans="30:36" ht="18">
      <c r="AD389" s="93"/>
      <c r="AE389" s="214"/>
      <c r="AF389" s="93"/>
      <c r="AG389" s="93"/>
      <c r="AH389" s="93"/>
      <c r="AI389" s="93"/>
      <c r="AJ389" s="93"/>
    </row>
    <row r="390" spans="30:36" ht="18">
      <c r="AD390" s="93"/>
      <c r="AE390" s="214"/>
      <c r="AF390" s="93"/>
      <c r="AG390" s="93"/>
      <c r="AH390" s="93"/>
      <c r="AI390" s="93"/>
      <c r="AJ390" s="93"/>
    </row>
    <row r="391" spans="30:36" ht="18">
      <c r="AD391" s="93"/>
      <c r="AE391" s="214"/>
      <c r="AF391" s="93"/>
      <c r="AG391" s="93"/>
      <c r="AH391" s="93"/>
      <c r="AI391" s="93"/>
      <c r="AJ391" s="93"/>
    </row>
    <row r="392" spans="30:36" ht="18">
      <c r="AD392" s="93"/>
      <c r="AE392" s="214"/>
      <c r="AF392" s="93"/>
      <c r="AG392" s="93"/>
      <c r="AH392" s="93"/>
      <c r="AI392" s="93"/>
      <c r="AJ392" s="93"/>
    </row>
    <row r="393" spans="30:36" ht="18">
      <c r="AD393" s="93"/>
      <c r="AE393" s="214"/>
      <c r="AF393" s="93"/>
      <c r="AG393" s="93"/>
      <c r="AH393" s="93"/>
      <c r="AI393" s="93"/>
      <c r="AJ393" s="93"/>
    </row>
    <row r="394" spans="30:36" ht="18">
      <c r="AD394" s="93"/>
      <c r="AE394" s="214"/>
      <c r="AF394" s="93"/>
      <c r="AG394" s="93"/>
      <c r="AH394" s="93"/>
      <c r="AI394" s="93"/>
      <c r="AJ394" s="93"/>
    </row>
    <row r="395" spans="30:36" ht="18">
      <c r="AD395" s="93"/>
      <c r="AE395" s="214"/>
      <c r="AF395" s="93"/>
      <c r="AG395" s="93"/>
      <c r="AH395" s="93"/>
      <c r="AI395" s="93"/>
      <c r="AJ395" s="93"/>
    </row>
    <row r="396" spans="30:36" ht="18">
      <c r="AD396" s="93"/>
      <c r="AE396" s="214"/>
      <c r="AF396" s="93"/>
      <c r="AG396" s="93"/>
      <c r="AH396" s="93"/>
      <c r="AI396" s="93"/>
      <c r="AJ396" s="93"/>
    </row>
    <row r="397" spans="30:36" ht="18">
      <c r="AD397" s="93"/>
      <c r="AE397" s="214"/>
      <c r="AF397" s="93"/>
      <c r="AG397" s="93"/>
      <c r="AH397" s="93"/>
      <c r="AI397" s="93"/>
      <c r="AJ397" s="93"/>
    </row>
    <row r="398" spans="30:36" ht="18">
      <c r="AD398" s="93"/>
      <c r="AE398" s="214"/>
      <c r="AF398" s="93"/>
      <c r="AG398" s="93"/>
      <c r="AH398" s="93"/>
      <c r="AI398" s="93"/>
      <c r="AJ398" s="93"/>
    </row>
    <row r="399" spans="30:36" ht="18">
      <c r="AD399" s="93"/>
      <c r="AE399" s="215"/>
      <c r="AF399" s="93"/>
      <c r="AG399" s="93"/>
      <c r="AH399" s="93"/>
      <c r="AI399" s="93"/>
      <c r="AJ399" s="93"/>
    </row>
    <row r="400" spans="30:36" ht="18">
      <c r="AD400" s="93"/>
      <c r="AE400" s="214"/>
      <c r="AF400" s="93"/>
      <c r="AG400" s="93"/>
      <c r="AH400" s="93"/>
      <c r="AI400" s="93"/>
      <c r="AJ400" s="93"/>
    </row>
    <row r="401" spans="30:36" ht="18">
      <c r="AD401" s="93"/>
      <c r="AE401" s="214"/>
      <c r="AF401" s="93"/>
      <c r="AG401" s="93"/>
      <c r="AH401" s="93"/>
      <c r="AI401" s="93"/>
      <c r="AJ401" s="93"/>
    </row>
    <row r="402" spans="30:36" ht="18">
      <c r="AD402" s="93"/>
      <c r="AE402" s="214"/>
      <c r="AF402" s="93"/>
      <c r="AG402" s="93"/>
      <c r="AH402" s="93"/>
      <c r="AI402" s="93"/>
      <c r="AJ402" s="93"/>
    </row>
    <row r="403" spans="30:36" ht="18">
      <c r="AD403" s="93"/>
      <c r="AE403" s="215"/>
      <c r="AF403" s="93"/>
      <c r="AG403" s="93"/>
      <c r="AH403" s="93"/>
      <c r="AI403" s="93"/>
      <c r="AJ403" s="93"/>
    </row>
    <row r="404" spans="30:36" ht="18">
      <c r="AD404" s="93"/>
      <c r="AE404" s="215"/>
      <c r="AF404" s="93"/>
      <c r="AG404" s="93"/>
      <c r="AH404" s="93"/>
      <c r="AI404" s="93"/>
      <c r="AJ404" s="93"/>
    </row>
    <row r="405" spans="30:36" ht="18">
      <c r="AD405" s="93"/>
      <c r="AE405" s="214"/>
      <c r="AF405" s="93"/>
      <c r="AG405" s="93"/>
      <c r="AH405" s="93"/>
      <c r="AI405" s="93"/>
      <c r="AJ405" s="93"/>
    </row>
    <row r="406" spans="30:36" ht="18">
      <c r="AD406" s="93"/>
      <c r="AE406" s="214"/>
      <c r="AF406" s="93"/>
      <c r="AG406" s="93"/>
      <c r="AH406" s="93"/>
      <c r="AI406" s="93"/>
      <c r="AJ406" s="93"/>
    </row>
    <row r="407" spans="30:36" ht="18">
      <c r="AD407" s="93"/>
      <c r="AE407" s="214"/>
      <c r="AF407" s="93"/>
      <c r="AG407" s="93"/>
      <c r="AH407" s="93"/>
      <c r="AI407" s="93"/>
      <c r="AJ407" s="93"/>
    </row>
    <row r="408" spans="30:36" ht="18">
      <c r="AD408" s="93"/>
      <c r="AE408" s="214"/>
      <c r="AF408" s="93"/>
      <c r="AG408" s="93"/>
      <c r="AH408" s="93"/>
      <c r="AI408" s="93"/>
      <c r="AJ408" s="93"/>
    </row>
    <row r="409" spans="30:36" ht="18">
      <c r="AD409" s="93"/>
      <c r="AE409" s="214"/>
      <c r="AF409" s="93"/>
      <c r="AG409" s="93"/>
      <c r="AH409" s="93"/>
      <c r="AI409" s="93"/>
      <c r="AJ409" s="93"/>
    </row>
    <row r="410" spans="30:36" ht="18">
      <c r="AD410" s="93"/>
      <c r="AE410" s="214"/>
      <c r="AF410" s="93"/>
      <c r="AG410" s="93"/>
      <c r="AH410" s="93"/>
      <c r="AI410" s="93"/>
      <c r="AJ410" s="93"/>
    </row>
    <row r="411" spans="30:36" ht="18">
      <c r="AD411" s="93"/>
      <c r="AE411" s="214"/>
      <c r="AF411" s="93"/>
      <c r="AG411" s="93"/>
      <c r="AH411" s="93"/>
      <c r="AI411" s="93"/>
      <c r="AJ411" s="93"/>
    </row>
    <row r="412" spans="30:36" ht="18">
      <c r="AD412" s="93"/>
      <c r="AE412" s="214"/>
      <c r="AF412" s="93"/>
      <c r="AG412" s="93"/>
      <c r="AH412" s="93"/>
      <c r="AI412" s="93"/>
      <c r="AJ412" s="93"/>
    </row>
    <row r="413" spans="30:36" ht="18">
      <c r="AD413" s="93"/>
      <c r="AE413" s="214"/>
      <c r="AF413" s="93"/>
      <c r="AG413" s="93"/>
      <c r="AH413" s="93"/>
      <c r="AI413" s="93"/>
      <c r="AJ413" s="93"/>
    </row>
    <row r="414" spans="30:36" ht="18">
      <c r="AD414" s="93"/>
      <c r="AE414" s="214"/>
      <c r="AF414" s="93"/>
      <c r="AG414" s="93"/>
      <c r="AH414" s="93"/>
      <c r="AI414" s="93"/>
      <c r="AJ414" s="93"/>
    </row>
    <row r="415" spans="30:36" ht="18">
      <c r="AD415" s="93"/>
      <c r="AE415" s="214"/>
      <c r="AF415" s="93"/>
      <c r="AG415" s="93"/>
      <c r="AH415" s="93"/>
      <c r="AI415" s="93"/>
      <c r="AJ415" s="93"/>
    </row>
    <row r="416" spans="30:36" ht="18">
      <c r="AD416" s="93"/>
      <c r="AE416" s="214"/>
      <c r="AF416" s="93"/>
      <c r="AG416" s="93"/>
      <c r="AH416" s="93"/>
      <c r="AI416" s="93"/>
      <c r="AJ416" s="93"/>
    </row>
    <row r="417" spans="30:36" ht="18">
      <c r="AD417" s="93"/>
      <c r="AE417" s="214"/>
      <c r="AF417" s="93"/>
      <c r="AG417" s="93"/>
      <c r="AH417" s="93"/>
      <c r="AI417" s="93"/>
      <c r="AJ417" s="93"/>
    </row>
    <row r="418" spans="30:36" ht="18">
      <c r="AD418" s="93"/>
      <c r="AE418" s="214"/>
      <c r="AF418" s="93"/>
      <c r="AG418" s="93"/>
      <c r="AH418" s="93"/>
      <c r="AI418" s="93"/>
      <c r="AJ418" s="93"/>
    </row>
    <row r="419" spans="30:36" ht="18">
      <c r="AD419" s="93"/>
      <c r="AE419" s="214"/>
      <c r="AF419" s="93"/>
      <c r="AG419" s="93"/>
      <c r="AH419" s="93"/>
      <c r="AI419" s="93"/>
      <c r="AJ419" s="93"/>
    </row>
    <row r="420" spans="30:36" ht="18">
      <c r="AD420" s="93"/>
      <c r="AE420" s="214"/>
      <c r="AF420" s="93"/>
      <c r="AG420" s="93"/>
      <c r="AH420" s="93"/>
      <c r="AI420" s="93"/>
      <c r="AJ420" s="93"/>
    </row>
    <row r="421" spans="30:36" ht="18">
      <c r="AD421" s="93"/>
      <c r="AE421" s="214"/>
      <c r="AF421" s="93"/>
      <c r="AG421" s="93"/>
      <c r="AH421" s="93"/>
      <c r="AI421" s="93"/>
      <c r="AJ421" s="93"/>
    </row>
    <row r="422" spans="30:36" ht="18">
      <c r="AD422" s="93"/>
      <c r="AE422" s="214"/>
      <c r="AF422" s="93"/>
      <c r="AG422" s="93"/>
      <c r="AH422" s="93"/>
      <c r="AI422" s="93"/>
      <c r="AJ422" s="93"/>
    </row>
    <row r="423" spans="30:36" ht="18">
      <c r="AD423" s="93"/>
      <c r="AE423" s="214"/>
      <c r="AF423" s="93"/>
      <c r="AG423" s="93"/>
      <c r="AH423" s="93"/>
      <c r="AI423" s="93"/>
      <c r="AJ423" s="93"/>
    </row>
    <row r="424" spans="30:36" ht="18">
      <c r="AD424" s="93"/>
      <c r="AE424" s="214"/>
      <c r="AF424" s="93"/>
      <c r="AG424" s="93"/>
      <c r="AH424" s="93"/>
      <c r="AI424" s="93"/>
      <c r="AJ424" s="93"/>
    </row>
    <row r="425" spans="30:36" ht="18">
      <c r="AD425" s="93"/>
      <c r="AE425" s="214"/>
      <c r="AF425" s="93"/>
      <c r="AG425" s="93"/>
      <c r="AH425" s="93"/>
      <c r="AI425" s="93"/>
      <c r="AJ425" s="93"/>
    </row>
    <row r="426" spans="30:36" ht="18">
      <c r="AD426" s="93"/>
      <c r="AE426" s="214"/>
      <c r="AF426" s="93"/>
      <c r="AG426" s="93"/>
      <c r="AH426" s="93"/>
      <c r="AI426" s="93"/>
      <c r="AJ426" s="93"/>
    </row>
    <row r="427" spans="30:36" ht="18">
      <c r="AD427" s="93"/>
      <c r="AE427" s="214"/>
      <c r="AF427" s="93"/>
      <c r="AG427" s="93"/>
      <c r="AH427" s="93"/>
      <c r="AI427" s="93"/>
      <c r="AJ427" s="93"/>
    </row>
    <row r="428" spans="30:36" ht="18">
      <c r="AD428" s="93"/>
      <c r="AE428" s="215"/>
      <c r="AF428" s="93"/>
      <c r="AG428" s="93"/>
      <c r="AH428" s="93"/>
      <c r="AI428" s="93"/>
      <c r="AJ428" s="93"/>
    </row>
    <row r="429" spans="30:36" ht="18">
      <c r="AD429" s="93"/>
      <c r="AE429" s="215"/>
      <c r="AF429" s="93"/>
      <c r="AG429" s="93"/>
      <c r="AH429" s="93"/>
      <c r="AI429" s="93"/>
      <c r="AJ429" s="93"/>
    </row>
    <row r="430" spans="30:36" ht="18">
      <c r="AD430" s="93"/>
      <c r="AE430" s="214"/>
      <c r="AF430" s="93"/>
      <c r="AG430" s="93"/>
      <c r="AH430" s="93"/>
      <c r="AI430" s="93"/>
      <c r="AJ430" s="93"/>
    </row>
    <row r="431" spans="30:36" ht="18">
      <c r="AD431" s="93"/>
      <c r="AE431" s="214"/>
      <c r="AF431" s="93"/>
      <c r="AG431" s="93"/>
      <c r="AH431" s="93"/>
      <c r="AI431" s="93"/>
      <c r="AJ431" s="93"/>
    </row>
    <row r="432" spans="30:36" ht="18">
      <c r="AD432" s="93"/>
      <c r="AE432" s="214"/>
      <c r="AF432" s="93"/>
      <c r="AG432" s="93"/>
      <c r="AH432" s="93"/>
      <c r="AI432" s="93"/>
      <c r="AJ432" s="93"/>
    </row>
    <row r="433" spans="30:36" ht="18">
      <c r="AD433" s="93"/>
      <c r="AE433" s="214"/>
      <c r="AF433" s="93"/>
      <c r="AG433" s="93"/>
      <c r="AH433" s="93"/>
      <c r="AI433" s="93"/>
      <c r="AJ433" s="93"/>
    </row>
    <row r="434" spans="30:36" ht="18">
      <c r="AD434" s="93"/>
      <c r="AE434" s="214"/>
      <c r="AF434" s="93"/>
      <c r="AG434" s="93"/>
      <c r="AH434" s="93"/>
      <c r="AI434" s="93"/>
      <c r="AJ434" s="93"/>
    </row>
    <row r="435" spans="30:36" ht="18">
      <c r="AD435" s="93"/>
      <c r="AE435" s="214"/>
      <c r="AF435" s="93"/>
      <c r="AG435" s="93"/>
      <c r="AH435" s="93"/>
      <c r="AI435" s="93"/>
      <c r="AJ435" s="93"/>
    </row>
    <row r="436" spans="30:36" ht="18">
      <c r="AD436" s="93"/>
      <c r="AE436" s="214"/>
      <c r="AF436" s="93"/>
      <c r="AG436" s="93"/>
      <c r="AH436" s="93"/>
      <c r="AI436" s="93"/>
      <c r="AJ436" s="93"/>
    </row>
    <row r="437" spans="30:36" ht="18">
      <c r="AD437" s="93"/>
      <c r="AE437" s="214"/>
      <c r="AF437" s="93"/>
      <c r="AG437" s="93"/>
      <c r="AH437" s="93"/>
      <c r="AI437" s="93"/>
      <c r="AJ437" s="93"/>
    </row>
    <row r="438" spans="30:36" ht="18">
      <c r="AD438" s="93"/>
      <c r="AE438" s="214"/>
      <c r="AF438" s="93"/>
      <c r="AG438" s="93"/>
      <c r="AH438" s="93"/>
      <c r="AI438" s="93"/>
      <c r="AJ438" s="93"/>
    </row>
    <row r="439" spans="30:36" ht="18">
      <c r="AD439" s="93"/>
      <c r="AE439" s="214"/>
      <c r="AF439" s="93"/>
      <c r="AG439" s="93"/>
      <c r="AH439" s="93"/>
      <c r="AI439" s="93"/>
      <c r="AJ439" s="93"/>
    </row>
    <row r="440" spans="30:36" ht="18">
      <c r="AD440" s="93"/>
      <c r="AE440" s="214"/>
      <c r="AF440" s="93"/>
      <c r="AG440" s="93"/>
      <c r="AH440" s="93"/>
      <c r="AI440" s="93"/>
      <c r="AJ440" s="93"/>
    </row>
    <row r="441" spans="30:36" ht="18">
      <c r="AD441" s="93"/>
      <c r="AE441" s="214"/>
      <c r="AF441" s="93"/>
      <c r="AG441" s="93"/>
      <c r="AH441" s="93"/>
      <c r="AI441" s="93"/>
      <c r="AJ441" s="93"/>
    </row>
    <row r="442" spans="30:36" ht="18">
      <c r="AD442" s="93"/>
      <c r="AE442" s="215"/>
      <c r="AF442" s="93"/>
      <c r="AG442" s="93"/>
      <c r="AH442" s="93"/>
      <c r="AI442" s="93"/>
      <c r="AJ442" s="93"/>
    </row>
    <row r="443" spans="30:36" ht="18">
      <c r="AD443" s="93"/>
      <c r="AE443" s="214"/>
      <c r="AF443" s="93"/>
      <c r="AG443" s="93"/>
      <c r="AH443" s="93"/>
      <c r="AI443" s="93"/>
      <c r="AJ443" s="93"/>
    </row>
    <row r="444" spans="30:36" ht="18">
      <c r="AD444" s="93"/>
      <c r="AE444" s="214"/>
      <c r="AF444" s="93"/>
      <c r="AG444" s="93"/>
      <c r="AH444" s="93"/>
      <c r="AI444" s="93"/>
      <c r="AJ444" s="93"/>
    </row>
    <row r="445" spans="30:36" ht="18">
      <c r="AD445" s="93"/>
      <c r="AE445" s="214"/>
      <c r="AF445" s="93"/>
      <c r="AG445" s="93"/>
      <c r="AH445" s="93"/>
      <c r="AI445" s="93"/>
      <c r="AJ445" s="93"/>
    </row>
    <row r="446" spans="30:36" ht="18">
      <c r="AD446" s="93"/>
      <c r="AE446" s="214"/>
      <c r="AF446" s="93"/>
      <c r="AG446" s="93"/>
      <c r="AH446" s="93"/>
      <c r="AI446" s="93"/>
      <c r="AJ446" s="93"/>
    </row>
    <row r="447" spans="30:36" ht="18">
      <c r="AD447" s="93"/>
      <c r="AE447" s="214"/>
      <c r="AF447" s="93"/>
      <c r="AG447" s="93"/>
      <c r="AH447" s="93"/>
      <c r="AI447" s="93"/>
      <c r="AJ447" s="93"/>
    </row>
    <row r="448" spans="30:36" ht="18">
      <c r="AD448" s="93"/>
      <c r="AE448" s="214"/>
      <c r="AF448" s="93"/>
      <c r="AG448" s="93"/>
      <c r="AH448" s="93"/>
      <c r="AI448" s="93"/>
      <c r="AJ448" s="93"/>
    </row>
    <row r="449" spans="30:36" ht="18">
      <c r="AD449" s="93"/>
      <c r="AE449" s="214"/>
      <c r="AF449" s="93"/>
      <c r="AG449" s="93"/>
      <c r="AH449" s="93"/>
      <c r="AI449" s="93"/>
      <c r="AJ449" s="93"/>
    </row>
    <row r="450" spans="30:36" ht="18">
      <c r="AD450" s="93"/>
      <c r="AE450" s="214"/>
      <c r="AF450" s="93"/>
      <c r="AG450" s="93"/>
      <c r="AH450" s="93"/>
      <c r="AI450" s="93"/>
      <c r="AJ450" s="93"/>
    </row>
    <row r="451" spans="30:36" ht="18">
      <c r="AD451" s="93"/>
      <c r="AE451" s="214"/>
      <c r="AF451" s="93"/>
      <c r="AG451" s="93"/>
      <c r="AH451" s="93"/>
      <c r="AI451" s="93"/>
      <c r="AJ451" s="93"/>
    </row>
    <row r="452" spans="30:36" ht="18">
      <c r="AD452" s="93"/>
      <c r="AE452" s="214"/>
      <c r="AF452" s="93"/>
      <c r="AG452" s="93"/>
      <c r="AH452" s="93"/>
      <c r="AI452" s="93"/>
      <c r="AJ452" s="93"/>
    </row>
    <row r="453" spans="30:36" ht="18">
      <c r="AD453" s="93"/>
      <c r="AE453" s="214"/>
      <c r="AF453" s="93"/>
      <c r="AG453" s="93"/>
      <c r="AH453" s="93"/>
      <c r="AI453" s="93"/>
      <c r="AJ453" s="93"/>
    </row>
    <row r="454" spans="30:36" ht="18">
      <c r="AD454" s="93"/>
      <c r="AE454" s="214"/>
      <c r="AF454" s="93"/>
      <c r="AG454" s="93"/>
      <c r="AH454" s="93"/>
      <c r="AI454" s="93"/>
      <c r="AJ454" s="93"/>
    </row>
    <row r="455" spans="30:36" ht="18">
      <c r="AD455" s="93"/>
      <c r="AE455" s="214"/>
      <c r="AF455" s="93"/>
      <c r="AG455" s="93"/>
      <c r="AH455" s="93"/>
      <c r="AI455" s="93"/>
      <c r="AJ455" s="93"/>
    </row>
    <row r="456" spans="30:36" ht="18">
      <c r="AD456" s="93"/>
      <c r="AE456" s="214"/>
      <c r="AF456" s="93"/>
      <c r="AG456" s="93"/>
      <c r="AH456" s="93"/>
      <c r="AI456" s="93"/>
      <c r="AJ456" s="93"/>
    </row>
    <row r="457" spans="30:36" ht="18">
      <c r="AD457" s="93"/>
      <c r="AE457" s="214"/>
      <c r="AF457" s="93"/>
      <c r="AG457" s="93"/>
      <c r="AH457" s="93"/>
      <c r="AI457" s="93"/>
      <c r="AJ457" s="93"/>
    </row>
    <row r="458" spans="30:36" ht="18">
      <c r="AD458" s="93"/>
      <c r="AE458" s="215"/>
      <c r="AF458" s="93"/>
      <c r="AG458" s="93"/>
      <c r="AH458" s="93"/>
      <c r="AI458" s="93"/>
      <c r="AJ458" s="93"/>
    </row>
    <row r="459" spans="30:36" ht="18">
      <c r="AD459" s="93"/>
      <c r="AE459" s="214"/>
      <c r="AF459" s="93"/>
      <c r="AG459" s="93"/>
      <c r="AH459" s="93"/>
      <c r="AI459" s="93"/>
      <c r="AJ459" s="93"/>
    </row>
    <row r="460" spans="30:36" ht="18">
      <c r="AD460" s="93"/>
      <c r="AE460" s="214"/>
      <c r="AF460" s="93"/>
      <c r="AG460" s="93"/>
      <c r="AH460" s="93"/>
      <c r="AI460" s="93"/>
      <c r="AJ460" s="93"/>
    </row>
    <row r="461" spans="30:36" ht="18">
      <c r="AD461" s="93"/>
      <c r="AE461" s="215"/>
      <c r="AF461" s="93"/>
      <c r="AG461" s="93"/>
      <c r="AH461" s="93"/>
      <c r="AI461" s="93"/>
      <c r="AJ461" s="93"/>
    </row>
    <row r="462" spans="30:36" ht="18">
      <c r="AD462" s="93"/>
      <c r="AE462" s="214"/>
      <c r="AF462" s="93"/>
      <c r="AG462" s="93"/>
      <c r="AH462" s="93"/>
      <c r="AI462" s="93"/>
      <c r="AJ462" s="93"/>
    </row>
    <row r="463" spans="30:36" ht="18">
      <c r="AD463" s="93"/>
      <c r="AE463" s="214"/>
      <c r="AF463" s="93"/>
      <c r="AG463" s="93"/>
      <c r="AH463" s="93"/>
      <c r="AI463" s="93"/>
      <c r="AJ463" s="93"/>
    </row>
    <row r="464" spans="30:36" ht="18">
      <c r="AD464" s="93"/>
      <c r="AE464" s="214"/>
      <c r="AF464" s="93"/>
      <c r="AG464" s="93"/>
      <c r="AH464" s="93"/>
      <c r="AI464" s="93"/>
      <c r="AJ464" s="93"/>
    </row>
    <row r="465" spans="30:36" ht="18">
      <c r="AD465" s="93"/>
      <c r="AE465" s="214"/>
      <c r="AF465" s="93"/>
      <c r="AG465" s="93"/>
      <c r="AH465" s="93"/>
      <c r="AI465" s="93"/>
      <c r="AJ465" s="93"/>
    </row>
    <row r="466" spans="30:36" ht="18">
      <c r="AD466" s="93"/>
      <c r="AE466" s="214"/>
      <c r="AF466" s="93"/>
      <c r="AG466" s="93"/>
      <c r="AH466" s="93"/>
      <c r="AI466" s="93"/>
      <c r="AJ466" s="93"/>
    </row>
    <row r="467" spans="30:36" ht="18">
      <c r="AD467" s="93"/>
      <c r="AE467" s="214"/>
      <c r="AF467" s="93"/>
      <c r="AG467" s="93"/>
      <c r="AH467" s="93"/>
      <c r="AI467" s="93"/>
      <c r="AJ467" s="93"/>
    </row>
    <row r="468" spans="30:36" ht="18">
      <c r="AD468" s="93"/>
      <c r="AE468" s="215"/>
      <c r="AF468" s="93"/>
      <c r="AG468" s="93"/>
      <c r="AH468" s="93"/>
      <c r="AI468" s="93"/>
      <c r="AJ468" s="93"/>
    </row>
    <row r="469" spans="30:36" ht="18">
      <c r="AD469" s="93"/>
      <c r="AE469" s="214"/>
      <c r="AF469" s="93"/>
      <c r="AG469" s="93"/>
      <c r="AH469" s="93"/>
      <c r="AI469" s="93"/>
      <c r="AJ469" s="93"/>
    </row>
    <row r="470" spans="30:36" ht="18">
      <c r="AD470" s="93"/>
      <c r="AE470" s="214"/>
      <c r="AF470" s="93"/>
      <c r="AG470" s="93"/>
      <c r="AH470" s="93"/>
      <c r="AI470" s="93"/>
      <c r="AJ470" s="93"/>
    </row>
    <row r="471" spans="30:36" ht="18">
      <c r="AD471" s="93"/>
      <c r="AE471" s="214"/>
      <c r="AF471" s="93"/>
      <c r="AG471" s="93"/>
      <c r="AH471" s="93"/>
      <c r="AI471" s="93"/>
      <c r="AJ471" s="93"/>
    </row>
    <row r="472" spans="30:36" ht="18">
      <c r="AD472" s="93"/>
      <c r="AE472" s="214"/>
      <c r="AF472" s="93"/>
      <c r="AG472" s="93"/>
      <c r="AH472" s="93"/>
      <c r="AI472" s="93"/>
      <c r="AJ472" s="93"/>
    </row>
    <row r="473" spans="30:36" ht="18">
      <c r="AD473" s="93"/>
      <c r="AE473" s="214"/>
      <c r="AF473" s="93"/>
      <c r="AG473" s="93"/>
      <c r="AH473" s="93"/>
      <c r="AI473" s="93"/>
      <c r="AJ473" s="93"/>
    </row>
    <row r="474" spans="30:36" ht="18">
      <c r="AD474" s="93"/>
      <c r="AE474" s="214"/>
      <c r="AF474" s="93"/>
      <c r="AG474" s="93"/>
      <c r="AH474" s="93"/>
      <c r="AI474" s="93"/>
      <c r="AJ474" s="93"/>
    </row>
    <row r="475" spans="30:36" ht="18">
      <c r="AD475" s="93"/>
      <c r="AE475" s="215"/>
      <c r="AF475" s="93"/>
      <c r="AG475" s="93"/>
      <c r="AH475" s="93"/>
      <c r="AI475" s="93"/>
      <c r="AJ475" s="93"/>
    </row>
    <row r="476" spans="30:36" ht="18">
      <c r="AD476" s="93"/>
      <c r="AE476" s="214"/>
      <c r="AF476" s="93"/>
      <c r="AG476" s="93"/>
      <c r="AH476" s="93"/>
      <c r="AI476" s="93"/>
      <c r="AJ476" s="93"/>
    </row>
    <row r="477" spans="30:36" ht="18">
      <c r="AD477" s="93"/>
      <c r="AE477" s="214"/>
      <c r="AF477" s="93"/>
      <c r="AG477" s="93"/>
      <c r="AH477" s="93"/>
      <c r="AI477" s="93"/>
      <c r="AJ477" s="93"/>
    </row>
    <row r="478" spans="30:36" ht="18">
      <c r="AD478" s="93"/>
      <c r="AE478" s="214"/>
      <c r="AF478" s="93"/>
      <c r="AG478" s="93"/>
      <c r="AH478" s="93"/>
      <c r="AI478" s="93"/>
      <c r="AJ478" s="93"/>
    </row>
    <row r="479" spans="30:36" ht="18">
      <c r="AD479" s="93"/>
      <c r="AE479" s="214"/>
      <c r="AF479" s="93"/>
      <c r="AG479" s="93"/>
      <c r="AH479" s="93"/>
      <c r="AI479" s="93"/>
      <c r="AJ479" s="93"/>
    </row>
    <row r="480" spans="30:36" ht="18">
      <c r="AD480" s="93"/>
      <c r="AE480" s="214"/>
      <c r="AF480" s="93"/>
      <c r="AG480" s="93"/>
      <c r="AH480" s="93"/>
      <c r="AI480" s="93"/>
      <c r="AJ480" s="93"/>
    </row>
    <row r="481" spans="30:36" ht="18">
      <c r="AD481" s="93"/>
      <c r="AE481" s="214"/>
      <c r="AF481" s="93"/>
      <c r="AG481" s="93"/>
      <c r="AH481" s="93"/>
      <c r="AI481" s="93"/>
      <c r="AJ481" s="93"/>
    </row>
    <row r="482" spans="30:36" ht="18">
      <c r="AD482" s="93"/>
      <c r="AE482" s="214"/>
      <c r="AF482" s="93"/>
      <c r="AG482" s="93"/>
      <c r="AH482" s="93"/>
      <c r="AI482" s="93"/>
      <c r="AJ482" s="93"/>
    </row>
    <row r="483" spans="30:36" ht="18">
      <c r="AD483" s="93"/>
      <c r="AE483" s="215"/>
      <c r="AF483" s="93"/>
      <c r="AG483" s="93"/>
      <c r="AH483" s="93"/>
      <c r="AI483" s="93"/>
      <c r="AJ483" s="93"/>
    </row>
    <row r="484" spans="30:36" ht="18">
      <c r="AD484" s="93"/>
      <c r="AE484" s="215"/>
      <c r="AF484" s="93"/>
      <c r="AG484" s="93"/>
      <c r="AH484" s="93"/>
      <c r="AI484" s="93"/>
      <c r="AJ484" s="93"/>
    </row>
    <row r="485" spans="30:36" ht="18">
      <c r="AD485" s="93"/>
      <c r="AE485" s="214"/>
      <c r="AF485" s="93"/>
      <c r="AG485" s="93"/>
      <c r="AH485" s="93"/>
      <c r="AI485" s="93"/>
      <c r="AJ485" s="93"/>
    </row>
    <row r="486" spans="30:36" ht="18">
      <c r="AD486" s="93"/>
      <c r="AE486" s="214"/>
      <c r="AF486" s="93"/>
      <c r="AG486" s="93"/>
      <c r="AH486" s="93"/>
      <c r="AI486" s="93"/>
      <c r="AJ486" s="93"/>
    </row>
    <row r="487" spans="30:36" ht="18">
      <c r="AD487" s="93"/>
      <c r="AE487" s="214"/>
      <c r="AF487" s="93"/>
      <c r="AG487" s="93"/>
      <c r="AH487" s="93"/>
      <c r="AI487" s="93"/>
      <c r="AJ487" s="93"/>
    </row>
    <row r="488" spans="30:36" ht="18">
      <c r="AD488" s="93"/>
      <c r="AE488" s="214"/>
      <c r="AF488" s="93"/>
      <c r="AG488" s="93"/>
      <c r="AH488" s="93"/>
      <c r="AI488" s="93"/>
      <c r="AJ488" s="93"/>
    </row>
    <row r="489" spans="30:36" ht="18">
      <c r="AD489" s="93"/>
      <c r="AE489" s="214"/>
      <c r="AF489" s="93"/>
      <c r="AG489" s="93"/>
      <c r="AH489" s="93"/>
      <c r="AI489" s="93"/>
      <c r="AJ489" s="93"/>
    </row>
    <row r="490" spans="30:36" ht="18">
      <c r="AD490" s="93"/>
      <c r="AE490" s="214"/>
      <c r="AF490" s="93"/>
      <c r="AG490" s="93"/>
      <c r="AH490" s="93"/>
      <c r="AI490" s="93"/>
      <c r="AJ490" s="93"/>
    </row>
    <row r="491" spans="30:36" ht="18">
      <c r="AD491" s="93"/>
      <c r="AE491" s="214"/>
      <c r="AF491" s="93"/>
      <c r="AG491" s="93"/>
      <c r="AH491" s="93"/>
      <c r="AI491" s="93"/>
      <c r="AJ491" s="93"/>
    </row>
    <row r="492" spans="30:36" ht="18">
      <c r="AD492" s="93"/>
      <c r="AE492" s="214"/>
      <c r="AF492" s="93"/>
      <c r="AG492" s="93"/>
      <c r="AH492" s="93"/>
      <c r="AI492" s="93"/>
      <c r="AJ492" s="93"/>
    </row>
    <row r="493" spans="30:36" ht="18">
      <c r="AD493" s="93"/>
      <c r="AE493" s="214"/>
      <c r="AF493" s="93"/>
      <c r="AG493" s="93"/>
      <c r="AH493" s="93"/>
      <c r="AI493" s="93"/>
      <c r="AJ493" s="93"/>
    </row>
    <row r="494" spans="30:36" ht="18">
      <c r="AD494" s="93"/>
      <c r="AE494" s="215"/>
      <c r="AF494" s="93"/>
      <c r="AG494" s="93"/>
      <c r="AH494" s="93"/>
      <c r="AI494" s="93"/>
      <c r="AJ494" s="93"/>
    </row>
    <row r="495" spans="30:36" ht="18">
      <c r="AD495" s="93"/>
      <c r="AE495" s="214"/>
      <c r="AF495" s="93"/>
      <c r="AG495" s="93"/>
      <c r="AH495" s="93"/>
      <c r="AI495" s="93"/>
      <c r="AJ495" s="93"/>
    </row>
    <row r="496" spans="30:36" ht="18">
      <c r="AD496" s="93"/>
      <c r="AE496" s="214"/>
      <c r="AF496" s="93"/>
      <c r="AG496" s="93"/>
      <c r="AH496" s="93"/>
      <c r="AI496" s="93"/>
      <c r="AJ496" s="93"/>
    </row>
    <row r="497" spans="30:36" ht="18">
      <c r="AD497" s="93"/>
      <c r="AE497" s="214"/>
      <c r="AF497" s="93"/>
      <c r="AG497" s="93"/>
      <c r="AH497" s="93"/>
      <c r="AI497" s="93"/>
      <c r="AJ497" s="93"/>
    </row>
    <row r="498" spans="30:36" ht="18">
      <c r="AD498" s="93"/>
      <c r="AE498" s="215"/>
      <c r="AF498" s="93"/>
      <c r="AG498" s="93"/>
      <c r="AH498" s="93"/>
      <c r="AI498" s="93"/>
      <c r="AJ498" s="93"/>
    </row>
    <row r="499" spans="30:36" ht="18">
      <c r="AD499" s="93"/>
      <c r="AE499" s="214"/>
      <c r="AF499" s="93"/>
      <c r="AG499" s="93"/>
      <c r="AH499" s="93"/>
      <c r="AI499" s="93"/>
      <c r="AJ499" s="93"/>
    </row>
    <row r="500" spans="30:36" ht="18">
      <c r="AD500" s="93"/>
      <c r="AE500" s="214"/>
      <c r="AF500" s="93"/>
      <c r="AG500" s="93"/>
      <c r="AH500" s="93"/>
      <c r="AI500" s="93"/>
      <c r="AJ500" s="93"/>
    </row>
    <row r="501" spans="30:36" ht="18">
      <c r="AD501" s="93"/>
      <c r="AE501" s="214"/>
      <c r="AF501" s="93"/>
      <c r="AG501" s="93"/>
      <c r="AH501" s="93"/>
      <c r="AI501" s="93"/>
      <c r="AJ501" s="93"/>
    </row>
    <row r="502" spans="30:36" ht="18">
      <c r="AD502" s="93"/>
      <c r="AE502" s="214"/>
      <c r="AF502" s="93"/>
      <c r="AG502" s="93"/>
      <c r="AH502" s="93"/>
      <c r="AI502" s="93"/>
      <c r="AJ502" s="93"/>
    </row>
    <row r="503" spans="30:36" ht="18">
      <c r="AD503" s="93"/>
      <c r="AE503" s="214"/>
      <c r="AF503" s="93"/>
      <c r="AG503" s="93"/>
      <c r="AH503" s="93"/>
      <c r="AI503" s="93"/>
      <c r="AJ503" s="93"/>
    </row>
    <row r="504" spans="30:36" ht="18">
      <c r="AD504" s="93"/>
      <c r="AE504" s="214"/>
      <c r="AF504" s="93"/>
      <c r="AG504" s="93"/>
      <c r="AH504" s="93"/>
      <c r="AI504" s="93"/>
      <c r="AJ504" s="93"/>
    </row>
    <row r="505" spans="30:36" ht="18">
      <c r="AD505" s="93"/>
      <c r="AE505" s="214"/>
      <c r="AF505" s="93"/>
      <c r="AG505" s="93"/>
      <c r="AH505" s="93"/>
      <c r="AI505" s="93"/>
      <c r="AJ505" s="93"/>
    </row>
    <row r="506" spans="30:36" ht="18">
      <c r="AD506" s="93"/>
      <c r="AE506" s="214"/>
      <c r="AF506" s="93"/>
      <c r="AG506" s="93"/>
      <c r="AH506" s="93"/>
      <c r="AI506" s="93"/>
      <c r="AJ506" s="93"/>
    </row>
    <row r="507" spans="30:36" ht="18">
      <c r="AD507" s="93"/>
      <c r="AE507" s="214"/>
      <c r="AF507" s="93"/>
      <c r="AG507" s="93"/>
      <c r="AH507" s="93"/>
      <c r="AI507" s="93"/>
      <c r="AJ507" s="93"/>
    </row>
    <row r="508" spans="30:36" ht="18">
      <c r="AD508" s="93"/>
      <c r="AE508" s="214"/>
      <c r="AF508" s="93"/>
      <c r="AG508" s="93"/>
      <c r="AH508" s="93"/>
      <c r="AI508" s="93"/>
      <c r="AJ508" s="93"/>
    </row>
    <row r="509" spans="30:36" ht="18">
      <c r="AD509" s="93"/>
      <c r="AE509" s="215"/>
      <c r="AF509" s="93"/>
      <c r="AG509" s="93"/>
      <c r="AH509" s="93"/>
      <c r="AI509" s="93"/>
      <c r="AJ509" s="93"/>
    </row>
    <row r="510" spans="30:36" ht="18">
      <c r="AD510" s="93"/>
      <c r="AE510" s="214"/>
      <c r="AF510" s="93"/>
      <c r="AG510" s="93"/>
      <c r="AH510" s="93"/>
      <c r="AI510" s="93"/>
      <c r="AJ510" s="93"/>
    </row>
    <row r="511" spans="30:36" ht="18">
      <c r="AD511" s="93"/>
      <c r="AE511" s="214"/>
      <c r="AF511" s="93"/>
      <c r="AG511" s="93"/>
      <c r="AH511" s="93"/>
      <c r="AI511" s="93"/>
      <c r="AJ511" s="93"/>
    </row>
    <row r="512" spans="30:36" ht="18">
      <c r="AD512" s="93"/>
      <c r="AE512" s="214"/>
      <c r="AF512" s="93"/>
      <c r="AG512" s="93"/>
      <c r="AH512" s="93"/>
      <c r="AI512" s="93"/>
      <c r="AJ512" s="93"/>
    </row>
    <row r="513" spans="30:36" ht="18">
      <c r="AD513" s="93"/>
      <c r="AE513" s="214"/>
      <c r="AF513" s="93"/>
      <c r="AG513" s="93"/>
      <c r="AH513" s="93"/>
      <c r="AI513" s="93"/>
      <c r="AJ513" s="93"/>
    </row>
    <row r="514" spans="30:36" ht="18">
      <c r="AD514" s="93"/>
      <c r="AE514" s="214"/>
      <c r="AF514" s="93"/>
      <c r="AG514" s="93"/>
      <c r="AH514" s="93"/>
      <c r="AI514" s="93"/>
      <c r="AJ514" s="93"/>
    </row>
    <row r="515" spans="30:36" ht="18">
      <c r="AD515" s="93"/>
      <c r="AE515" s="214"/>
      <c r="AF515" s="93"/>
      <c r="AG515" s="93"/>
      <c r="AH515" s="93"/>
      <c r="AI515" s="93"/>
      <c r="AJ515" s="93"/>
    </row>
    <row r="516" spans="30:36" ht="18">
      <c r="AD516" s="93"/>
      <c r="AE516" s="215"/>
      <c r="AF516" s="93"/>
      <c r="AG516" s="93"/>
      <c r="AH516" s="93"/>
      <c r="AI516" s="93"/>
      <c r="AJ516" s="93"/>
    </row>
    <row r="517" spans="30:36" ht="18">
      <c r="AD517" s="93"/>
      <c r="AE517" s="215"/>
      <c r="AF517" s="93"/>
      <c r="AG517" s="93"/>
      <c r="AH517" s="93"/>
      <c r="AI517" s="93"/>
      <c r="AJ517" s="93"/>
    </row>
    <row r="518" spans="30:36" ht="18">
      <c r="AD518" s="93"/>
      <c r="AE518" s="214"/>
      <c r="AF518" s="93"/>
      <c r="AG518" s="93"/>
      <c r="AH518" s="93"/>
      <c r="AI518" s="93"/>
      <c r="AJ518" s="93"/>
    </row>
    <row r="519" spans="30:36" ht="18">
      <c r="AD519" s="93"/>
      <c r="AE519" s="214"/>
      <c r="AF519" s="93"/>
      <c r="AG519" s="93"/>
      <c r="AH519" s="93"/>
      <c r="AI519" s="93"/>
      <c r="AJ519" s="93"/>
    </row>
    <row r="520" spans="30:36" ht="18">
      <c r="AD520" s="93"/>
      <c r="AE520" s="214"/>
      <c r="AF520" s="93"/>
      <c r="AG520" s="93"/>
      <c r="AH520" s="93"/>
      <c r="AI520" s="93"/>
      <c r="AJ520" s="93"/>
    </row>
    <row r="521" spans="30:36" ht="18">
      <c r="AD521" s="93"/>
      <c r="AE521" s="214"/>
      <c r="AF521" s="93"/>
      <c r="AG521" s="93"/>
      <c r="AH521" s="93"/>
      <c r="AI521" s="93"/>
      <c r="AJ521" s="93"/>
    </row>
    <row r="522" spans="30:36" ht="18">
      <c r="AD522" s="93"/>
      <c r="AE522" s="214"/>
      <c r="AF522" s="93"/>
      <c r="AG522" s="93"/>
      <c r="AH522" s="93"/>
      <c r="AI522" s="93"/>
      <c r="AJ522" s="93"/>
    </row>
    <row r="523" spans="30:36" ht="18">
      <c r="AD523" s="93"/>
      <c r="AE523" s="214"/>
      <c r="AF523" s="93"/>
      <c r="AG523" s="93"/>
      <c r="AH523" s="93"/>
      <c r="AI523" s="93"/>
      <c r="AJ523" s="93"/>
    </row>
    <row r="524" spans="30:36" ht="18">
      <c r="AD524" s="93"/>
      <c r="AE524" s="214"/>
      <c r="AF524" s="93"/>
      <c r="AG524" s="93"/>
      <c r="AH524" s="93"/>
      <c r="AI524" s="93"/>
      <c r="AJ524" s="93"/>
    </row>
    <row r="525" spans="30:36" ht="18">
      <c r="AD525" s="93"/>
      <c r="AE525" s="215"/>
      <c r="AF525" s="93"/>
      <c r="AG525" s="93"/>
      <c r="AH525" s="93"/>
      <c r="AI525" s="93"/>
      <c r="AJ525" s="93"/>
    </row>
    <row r="526" spans="30:36" ht="18">
      <c r="AD526" s="93"/>
      <c r="AE526" s="215"/>
      <c r="AF526" s="93"/>
      <c r="AG526" s="93"/>
      <c r="AH526" s="93"/>
      <c r="AI526" s="93"/>
      <c r="AJ526" s="93"/>
    </row>
    <row r="527" spans="30:36" ht="18">
      <c r="AD527" s="93"/>
      <c r="AE527" s="214"/>
      <c r="AF527" s="93"/>
      <c r="AG527" s="93"/>
      <c r="AH527" s="93"/>
      <c r="AI527" s="93"/>
      <c r="AJ527" s="93"/>
    </row>
    <row r="528" spans="30:36" ht="18">
      <c r="AD528" s="93"/>
      <c r="AE528" s="214"/>
      <c r="AF528" s="93"/>
      <c r="AG528" s="93"/>
      <c r="AH528" s="93"/>
      <c r="AI528" s="93"/>
      <c r="AJ528" s="93"/>
    </row>
    <row r="529" spans="30:36" ht="18">
      <c r="AD529" s="93"/>
      <c r="AE529" s="214"/>
      <c r="AF529" s="93"/>
      <c r="AG529" s="93"/>
      <c r="AH529" s="93"/>
      <c r="AI529" s="93"/>
      <c r="AJ529" s="93"/>
    </row>
    <row r="530" spans="30:36" ht="18">
      <c r="AD530" s="93"/>
      <c r="AE530" s="214"/>
      <c r="AF530" s="93"/>
      <c r="AG530" s="93"/>
      <c r="AH530" s="93"/>
      <c r="AI530" s="93"/>
      <c r="AJ530" s="93"/>
    </row>
    <row r="531" spans="30:36" ht="18">
      <c r="AD531" s="93"/>
      <c r="AE531" s="214"/>
      <c r="AF531" s="93"/>
      <c r="AG531" s="93"/>
      <c r="AH531" s="93"/>
      <c r="AI531" s="93"/>
      <c r="AJ531" s="93"/>
    </row>
    <row r="532" spans="30:36" ht="18">
      <c r="AD532" s="93"/>
      <c r="AE532" s="214"/>
      <c r="AF532" s="93"/>
      <c r="AG532" s="93"/>
      <c r="AH532" s="93"/>
      <c r="AI532" s="93"/>
      <c r="AJ532" s="93"/>
    </row>
    <row r="533" spans="30:36" ht="18">
      <c r="AD533" s="93"/>
      <c r="AE533" s="214"/>
      <c r="AF533" s="93"/>
      <c r="AG533" s="93"/>
      <c r="AH533" s="93"/>
      <c r="AI533" s="93"/>
      <c r="AJ533" s="93"/>
    </row>
    <row r="534" spans="30:36" ht="18">
      <c r="AD534" s="93"/>
      <c r="AE534" s="214"/>
      <c r="AF534" s="93"/>
      <c r="AG534" s="93"/>
      <c r="AH534" s="93"/>
      <c r="AI534" s="93"/>
      <c r="AJ534" s="93"/>
    </row>
    <row r="535" spans="30:36" ht="18">
      <c r="AD535" s="93"/>
      <c r="AE535" s="215"/>
      <c r="AF535" s="93"/>
      <c r="AG535" s="93"/>
      <c r="AH535" s="93"/>
      <c r="AI535" s="93"/>
      <c r="AJ535" s="93"/>
    </row>
    <row r="536" spans="30:36" ht="18">
      <c r="AD536" s="93"/>
      <c r="AE536" s="215"/>
      <c r="AF536" s="93"/>
      <c r="AG536" s="93"/>
      <c r="AH536" s="93"/>
      <c r="AI536" s="93"/>
      <c r="AJ536" s="93"/>
    </row>
    <row r="537" spans="30:36" ht="18">
      <c r="AD537" s="93"/>
      <c r="AE537" s="214"/>
      <c r="AF537" s="93"/>
      <c r="AG537" s="93"/>
      <c r="AH537" s="93"/>
      <c r="AI537" s="93"/>
      <c r="AJ537" s="93"/>
    </row>
    <row r="538" spans="30:36" ht="18">
      <c r="AD538" s="93"/>
      <c r="AE538" s="214"/>
      <c r="AF538" s="93"/>
      <c r="AG538" s="93"/>
      <c r="AH538" s="93"/>
      <c r="AI538" s="93"/>
      <c r="AJ538" s="93"/>
    </row>
    <row r="539" spans="30:36" ht="18">
      <c r="AD539" s="93"/>
      <c r="AE539" s="214"/>
      <c r="AF539" s="93"/>
      <c r="AG539" s="93"/>
      <c r="AH539" s="93"/>
      <c r="AI539" s="93"/>
      <c r="AJ539" s="93"/>
    </row>
    <row r="540" spans="30:36" ht="18">
      <c r="AD540" s="93"/>
      <c r="AE540" s="215"/>
      <c r="AF540" s="93"/>
      <c r="AG540" s="93"/>
      <c r="AH540" s="93"/>
      <c r="AI540" s="93"/>
      <c r="AJ540" s="93"/>
    </row>
    <row r="541" spans="30:36" ht="18">
      <c r="AD541" s="93"/>
      <c r="AE541" s="215"/>
      <c r="AF541" s="93"/>
      <c r="AG541" s="93"/>
      <c r="AH541" s="93"/>
      <c r="AI541" s="93"/>
      <c r="AJ541" s="93"/>
    </row>
    <row r="542" spans="30:36" ht="18">
      <c r="AD542" s="93"/>
      <c r="AE542" s="214"/>
      <c r="AF542" s="93"/>
      <c r="AG542" s="93"/>
      <c r="AH542" s="93"/>
      <c r="AI542" s="93"/>
      <c r="AJ542" s="93"/>
    </row>
    <row r="543" spans="30:36" ht="18">
      <c r="AD543" s="93"/>
      <c r="AE543" s="214"/>
      <c r="AF543" s="93"/>
      <c r="AG543" s="93"/>
      <c r="AH543" s="93"/>
      <c r="AI543" s="93"/>
      <c r="AJ543" s="93"/>
    </row>
    <row r="544" spans="30:36" ht="18">
      <c r="AD544" s="93"/>
      <c r="AE544" s="214"/>
      <c r="AF544" s="93"/>
      <c r="AG544" s="93"/>
      <c r="AH544" s="93"/>
      <c r="AI544" s="93"/>
      <c r="AJ544" s="93"/>
    </row>
    <row r="545" spans="30:36" ht="18">
      <c r="AD545" s="93"/>
      <c r="AE545" s="214"/>
      <c r="AF545" s="93"/>
      <c r="AG545" s="93"/>
      <c r="AH545" s="93"/>
      <c r="AI545" s="93"/>
      <c r="AJ545" s="93"/>
    </row>
    <row r="546" spans="30:36" ht="18">
      <c r="AD546" s="93"/>
      <c r="AE546" s="215"/>
      <c r="AF546" s="93"/>
      <c r="AG546" s="93"/>
      <c r="AH546" s="93"/>
      <c r="AI546" s="93"/>
      <c r="AJ546" s="93"/>
    </row>
    <row r="547" spans="30:36" ht="18">
      <c r="AD547" s="93"/>
      <c r="AE547" s="214"/>
      <c r="AF547" s="93"/>
      <c r="AG547" s="93"/>
      <c r="AH547" s="93"/>
      <c r="AI547" s="93"/>
      <c r="AJ547" s="93"/>
    </row>
    <row r="548" spans="30:36" ht="18">
      <c r="AD548" s="93"/>
      <c r="AE548" s="214"/>
      <c r="AF548" s="93"/>
      <c r="AG548" s="93"/>
      <c r="AH548" s="93"/>
      <c r="AI548" s="93"/>
      <c r="AJ548" s="93"/>
    </row>
    <row r="549" spans="30:36" ht="18">
      <c r="AD549" s="93"/>
      <c r="AE549" s="214"/>
      <c r="AF549" s="93"/>
      <c r="AG549" s="93"/>
      <c r="AH549" s="93"/>
      <c r="AI549" s="93"/>
      <c r="AJ549" s="93"/>
    </row>
    <row r="550" spans="30:36" ht="18">
      <c r="AD550" s="93"/>
      <c r="AE550" s="214"/>
      <c r="AF550" s="93"/>
      <c r="AG550" s="93"/>
      <c r="AH550" s="93"/>
      <c r="AI550" s="93"/>
      <c r="AJ550" s="93"/>
    </row>
    <row r="551" spans="30:36" ht="18">
      <c r="AD551" s="93"/>
      <c r="AE551" s="214"/>
      <c r="AF551" s="93"/>
      <c r="AG551" s="93"/>
      <c r="AH551" s="93"/>
      <c r="AI551" s="93"/>
      <c r="AJ551" s="93"/>
    </row>
    <row r="552" spans="30:36" ht="18">
      <c r="AD552" s="93"/>
      <c r="AE552" s="214"/>
      <c r="AF552" s="93"/>
      <c r="AG552" s="93"/>
      <c r="AH552" s="93"/>
      <c r="AI552" s="93"/>
      <c r="AJ552" s="93"/>
    </row>
    <row r="553" spans="30:36" ht="18">
      <c r="AD553" s="93"/>
      <c r="AE553" s="214"/>
      <c r="AF553" s="93"/>
      <c r="AG553" s="93"/>
      <c r="AH553" s="93"/>
      <c r="AI553" s="93"/>
      <c r="AJ553" s="93"/>
    </row>
    <row r="554" spans="30:36" ht="18">
      <c r="AD554" s="93"/>
      <c r="AE554" s="214"/>
      <c r="AF554" s="93"/>
      <c r="AG554" s="93"/>
      <c r="AH554" s="93"/>
      <c r="AI554" s="93"/>
      <c r="AJ554" s="93"/>
    </row>
    <row r="555" spans="30:36" ht="18">
      <c r="AD555" s="93"/>
      <c r="AE555" s="214"/>
      <c r="AF555" s="93"/>
      <c r="AG555" s="93"/>
      <c r="AH555" s="93"/>
      <c r="AI555" s="93"/>
      <c r="AJ555" s="93"/>
    </row>
    <row r="556" spans="30:36" ht="18">
      <c r="AD556" s="93"/>
      <c r="AE556" s="214"/>
      <c r="AF556" s="93"/>
      <c r="AG556" s="93"/>
      <c r="AH556" s="93"/>
      <c r="AI556" s="93"/>
      <c r="AJ556" s="93"/>
    </row>
    <row r="557" spans="30:36" ht="18">
      <c r="AD557" s="93"/>
      <c r="AE557" s="214"/>
      <c r="AF557" s="93"/>
      <c r="AG557" s="93"/>
      <c r="AH557" s="93"/>
      <c r="AI557" s="93"/>
      <c r="AJ557" s="93"/>
    </row>
    <row r="558" spans="30:36" ht="18">
      <c r="AD558" s="93"/>
      <c r="AE558" s="214"/>
      <c r="AF558" s="93"/>
      <c r="AG558" s="93"/>
      <c r="AH558" s="93"/>
      <c r="AI558" s="93"/>
      <c r="AJ558" s="93"/>
    </row>
    <row r="559" spans="30:36" ht="18">
      <c r="AD559" s="93"/>
      <c r="AE559" s="215"/>
      <c r="AF559" s="93"/>
      <c r="AG559" s="93"/>
      <c r="AH559" s="93"/>
      <c r="AI559" s="93"/>
      <c r="AJ559" s="93"/>
    </row>
    <row r="560" spans="30:36" ht="18">
      <c r="AD560" s="93"/>
      <c r="AE560" s="215"/>
      <c r="AF560" s="93"/>
      <c r="AG560" s="93"/>
      <c r="AH560" s="93"/>
      <c r="AI560" s="93"/>
      <c r="AJ560" s="93"/>
    </row>
    <row r="561" spans="30:36" ht="18">
      <c r="AD561" s="93"/>
      <c r="AE561" s="214"/>
      <c r="AF561" s="93"/>
      <c r="AG561" s="93"/>
      <c r="AH561" s="93"/>
      <c r="AI561" s="93"/>
      <c r="AJ561" s="93"/>
    </row>
    <row r="562" spans="30:36" ht="18">
      <c r="AD562" s="93"/>
      <c r="AE562" s="214"/>
      <c r="AF562" s="93"/>
      <c r="AG562" s="93"/>
      <c r="AH562" s="93"/>
      <c r="AI562" s="93"/>
      <c r="AJ562" s="93"/>
    </row>
    <row r="563" spans="30:36" ht="18">
      <c r="AD563" s="93"/>
      <c r="AE563" s="214"/>
      <c r="AF563" s="93"/>
      <c r="AG563" s="93"/>
      <c r="AH563" s="93"/>
      <c r="AI563" s="93"/>
      <c r="AJ563" s="93"/>
    </row>
    <row r="564" spans="30:36" ht="18">
      <c r="AD564" s="93"/>
      <c r="AE564" s="215"/>
      <c r="AF564" s="93"/>
      <c r="AG564" s="93"/>
      <c r="AH564" s="93"/>
      <c r="AI564" s="93"/>
      <c r="AJ564" s="93"/>
    </row>
    <row r="565" spans="30:36" ht="18">
      <c r="AD565" s="93"/>
      <c r="AE565" s="215"/>
      <c r="AF565" s="93"/>
      <c r="AG565" s="93"/>
      <c r="AH565" s="93"/>
      <c r="AI565" s="93"/>
      <c r="AJ565" s="93"/>
    </row>
    <row r="566" spans="30:36" ht="18">
      <c r="AD566" s="93"/>
      <c r="AE566" s="214"/>
      <c r="AF566" s="93"/>
      <c r="AG566" s="93"/>
      <c r="AH566" s="93"/>
      <c r="AI566" s="93"/>
      <c r="AJ566" s="93"/>
    </row>
    <row r="567" spans="30:36" ht="18">
      <c r="AD567" s="93"/>
      <c r="AE567" s="214"/>
      <c r="AF567" s="93"/>
      <c r="AG567" s="93"/>
      <c r="AH567" s="93"/>
      <c r="AI567" s="93"/>
      <c r="AJ567" s="93"/>
    </row>
    <row r="568" spans="30:36" ht="18">
      <c r="AD568" s="93"/>
      <c r="AE568" s="214"/>
      <c r="AF568" s="93"/>
      <c r="AG568" s="93"/>
      <c r="AH568" s="93"/>
      <c r="AI568" s="93"/>
      <c r="AJ568" s="93"/>
    </row>
    <row r="569" spans="30:36" ht="18">
      <c r="AD569" s="93"/>
      <c r="AE569" s="214"/>
      <c r="AF569" s="93"/>
      <c r="AG569" s="93"/>
      <c r="AH569" s="93"/>
      <c r="AI569" s="93"/>
      <c r="AJ569" s="93"/>
    </row>
    <row r="570" spans="30:36" ht="18">
      <c r="AD570" s="93"/>
      <c r="AE570" s="214"/>
      <c r="AF570" s="93"/>
      <c r="AG570" s="93"/>
      <c r="AH570" s="93"/>
      <c r="AI570" s="93"/>
      <c r="AJ570" s="93"/>
    </row>
    <row r="571" spans="30:36" ht="18">
      <c r="AD571" s="93"/>
      <c r="AE571" s="214"/>
      <c r="AF571" s="93"/>
      <c r="AG571" s="93"/>
      <c r="AH571" s="93"/>
      <c r="AI571" s="93"/>
      <c r="AJ571" s="93"/>
    </row>
    <row r="572" spans="30:36" ht="18">
      <c r="AD572" s="93"/>
      <c r="AE572" s="215"/>
      <c r="AF572" s="93"/>
      <c r="AG572" s="93"/>
      <c r="AH572" s="93"/>
      <c r="AI572" s="93"/>
      <c r="AJ572" s="93"/>
    </row>
    <row r="573" spans="30:36" ht="18">
      <c r="AD573" s="93"/>
      <c r="AE573" s="215"/>
      <c r="AF573" s="93"/>
      <c r="AG573" s="93"/>
      <c r="AH573" s="93"/>
      <c r="AI573" s="93"/>
      <c r="AJ573" s="93"/>
    </row>
    <row r="574" spans="30:36" ht="18">
      <c r="AD574" s="93"/>
      <c r="AE574" s="214"/>
      <c r="AF574" s="93"/>
      <c r="AG574" s="93"/>
      <c r="AH574" s="93"/>
      <c r="AI574" s="93"/>
      <c r="AJ574" s="93"/>
    </row>
    <row r="575" spans="30:36" ht="18">
      <c r="AD575" s="93"/>
      <c r="AE575" s="214"/>
      <c r="AF575" s="93"/>
      <c r="AG575" s="93"/>
      <c r="AH575" s="93"/>
      <c r="AI575" s="93"/>
      <c r="AJ575" s="93"/>
    </row>
    <row r="576" spans="30:36" ht="18">
      <c r="AD576" s="93"/>
      <c r="AE576" s="214"/>
      <c r="AF576" s="93"/>
      <c r="AG576" s="93"/>
      <c r="AH576" s="93"/>
      <c r="AI576" s="93"/>
      <c r="AJ576" s="93"/>
    </row>
    <row r="577" spans="30:36" ht="18">
      <c r="AD577" s="93"/>
      <c r="AE577" s="214"/>
      <c r="AF577" s="93"/>
      <c r="AG577" s="93"/>
      <c r="AH577" s="93"/>
      <c r="AI577" s="93"/>
      <c r="AJ577" s="93"/>
    </row>
    <row r="578" spans="30:36" ht="18">
      <c r="AD578" s="93"/>
      <c r="AE578" s="214"/>
      <c r="AF578" s="93"/>
      <c r="AG578" s="93"/>
      <c r="AH578" s="93"/>
      <c r="AI578" s="93"/>
      <c r="AJ578" s="93"/>
    </row>
    <row r="579" spans="30:36" ht="18">
      <c r="AD579" s="93"/>
      <c r="AE579" s="214"/>
      <c r="AF579" s="93"/>
      <c r="AG579" s="93"/>
      <c r="AH579" s="93"/>
      <c r="AI579" s="93"/>
      <c r="AJ579" s="93"/>
    </row>
    <row r="580" spans="30:36" ht="18">
      <c r="AD580" s="93"/>
      <c r="AE580" s="214"/>
      <c r="AF580" s="93"/>
      <c r="AG580" s="93"/>
      <c r="AH580" s="93"/>
      <c r="AI580" s="93"/>
      <c r="AJ580" s="93"/>
    </row>
    <row r="581" spans="30:36" ht="18">
      <c r="AD581" s="93"/>
      <c r="AE581" s="215"/>
      <c r="AF581" s="93"/>
      <c r="AG581" s="93"/>
      <c r="AH581" s="93"/>
      <c r="AI581" s="93"/>
      <c r="AJ581" s="93"/>
    </row>
    <row r="582" spans="30:36" ht="18">
      <c r="AD582" s="93"/>
      <c r="AE582" s="215"/>
      <c r="AF582" s="93"/>
      <c r="AG582" s="93"/>
      <c r="AH582" s="93"/>
      <c r="AI582" s="93"/>
      <c r="AJ582" s="93"/>
    </row>
    <row r="583" spans="30:36" ht="18">
      <c r="AD583" s="93"/>
      <c r="AE583" s="214"/>
      <c r="AF583" s="93"/>
      <c r="AG583" s="93"/>
      <c r="AH583" s="93"/>
      <c r="AI583" s="93"/>
      <c r="AJ583" s="93"/>
    </row>
    <row r="584" spans="30:36" ht="18">
      <c r="AD584" s="93"/>
      <c r="AE584" s="214"/>
      <c r="AF584" s="93"/>
      <c r="AG584" s="93"/>
      <c r="AH584" s="93"/>
      <c r="AI584" s="93"/>
      <c r="AJ584" s="93"/>
    </row>
    <row r="585" spans="30:36" ht="18">
      <c r="AD585" s="93"/>
      <c r="AE585" s="214"/>
      <c r="AF585" s="93"/>
      <c r="AG585" s="93"/>
      <c r="AH585" s="93"/>
      <c r="AI585" s="93"/>
      <c r="AJ585" s="93"/>
    </row>
    <row r="586" spans="30:36" ht="18">
      <c r="AD586" s="93"/>
      <c r="AE586" s="214"/>
      <c r="AF586" s="93"/>
      <c r="AG586" s="93"/>
      <c r="AH586" s="93"/>
      <c r="AI586" s="93"/>
      <c r="AJ586" s="93"/>
    </row>
    <row r="587" spans="30:36" ht="18">
      <c r="AD587" s="93"/>
      <c r="AE587" s="214"/>
      <c r="AF587" s="93"/>
      <c r="AG587" s="93"/>
      <c r="AH587" s="93"/>
      <c r="AI587" s="93"/>
      <c r="AJ587" s="93"/>
    </row>
    <row r="588" spans="30:36" ht="18">
      <c r="AD588" s="93"/>
      <c r="AE588" s="215"/>
      <c r="AF588" s="93"/>
      <c r="AG588" s="93"/>
      <c r="AH588" s="93"/>
      <c r="AI588" s="93"/>
      <c r="AJ588" s="93"/>
    </row>
    <row r="589" spans="30:36" ht="18">
      <c r="AD589" s="93"/>
      <c r="AE589" s="215"/>
      <c r="AF589" s="93"/>
      <c r="AG589" s="93"/>
      <c r="AH589" s="93"/>
      <c r="AI589" s="93"/>
      <c r="AJ589" s="93"/>
    </row>
    <row r="590" spans="30:36" ht="18">
      <c r="AD590" s="93"/>
      <c r="AE590" s="214"/>
      <c r="AF590" s="93"/>
      <c r="AG590" s="93"/>
      <c r="AH590" s="93"/>
      <c r="AI590" s="93"/>
      <c r="AJ590" s="93"/>
    </row>
    <row r="591" spans="30:36" ht="18">
      <c r="AD591" s="93"/>
      <c r="AE591" s="214"/>
      <c r="AF591" s="93"/>
      <c r="AG591" s="93"/>
      <c r="AH591" s="93"/>
      <c r="AI591" s="93"/>
      <c r="AJ591" s="93"/>
    </row>
    <row r="592" spans="30:36" ht="18">
      <c r="AD592" s="93"/>
      <c r="AE592" s="214"/>
      <c r="AF592" s="93"/>
      <c r="AG592" s="93"/>
      <c r="AH592" s="93"/>
      <c r="AI592" s="93"/>
      <c r="AJ592" s="93"/>
    </row>
    <row r="593" spans="30:36" ht="18">
      <c r="AD593" s="93"/>
      <c r="AE593" s="214"/>
      <c r="AF593" s="93"/>
      <c r="AG593" s="93"/>
      <c r="AH593" s="93"/>
      <c r="AI593" s="93"/>
      <c r="AJ593" s="93"/>
    </row>
    <row r="594" spans="30:36" ht="18">
      <c r="AD594" s="93"/>
      <c r="AE594" s="214"/>
      <c r="AF594" s="93"/>
      <c r="AG594" s="93"/>
      <c r="AH594" s="93"/>
      <c r="AI594" s="93"/>
      <c r="AJ594" s="93"/>
    </row>
    <row r="595" spans="30:36" ht="18">
      <c r="AD595" s="93"/>
      <c r="AE595" s="214"/>
      <c r="AF595" s="93"/>
      <c r="AG595" s="93"/>
      <c r="AH595" s="93"/>
      <c r="AI595" s="93"/>
      <c r="AJ595" s="93"/>
    </row>
    <row r="596" spans="30:36" ht="18">
      <c r="AD596" s="93"/>
      <c r="AE596" s="214"/>
      <c r="AF596" s="93"/>
      <c r="AG596" s="93"/>
      <c r="AH596" s="93"/>
      <c r="AI596" s="93"/>
      <c r="AJ596" s="93"/>
    </row>
    <row r="597" spans="30:36" ht="18">
      <c r="AD597" s="93"/>
      <c r="AE597" s="214"/>
      <c r="AF597" s="93"/>
      <c r="AG597" s="93"/>
      <c r="AH597" s="93"/>
      <c r="AI597" s="93"/>
      <c r="AJ597" s="93"/>
    </row>
    <row r="598" spans="30:36" ht="18">
      <c r="AD598" s="93"/>
      <c r="AE598" s="214"/>
      <c r="AF598" s="93"/>
      <c r="AG598" s="93"/>
      <c r="AH598" s="93"/>
      <c r="AI598" s="93"/>
      <c r="AJ598" s="93"/>
    </row>
    <row r="599" spans="30:36" ht="18">
      <c r="AD599" s="93"/>
      <c r="AE599" s="215"/>
      <c r="AF599" s="93"/>
      <c r="AG599" s="93"/>
      <c r="AH599" s="93"/>
      <c r="AI599" s="93"/>
      <c r="AJ599" s="93"/>
    </row>
    <row r="600" spans="30:36" ht="18">
      <c r="AD600" s="93"/>
      <c r="AE600" s="215"/>
      <c r="AF600" s="93"/>
      <c r="AG600" s="93"/>
      <c r="AH600" s="93"/>
      <c r="AI600" s="93"/>
      <c r="AJ600" s="93"/>
    </row>
    <row r="601" spans="30:36" ht="18">
      <c r="AD601" s="93"/>
      <c r="AE601" s="214"/>
      <c r="AF601" s="93"/>
      <c r="AG601" s="93"/>
      <c r="AH601" s="93"/>
      <c r="AI601" s="93"/>
      <c r="AJ601" s="93"/>
    </row>
    <row r="602" spans="30:36" ht="18">
      <c r="AD602" s="93"/>
      <c r="AE602" s="214"/>
      <c r="AF602" s="93"/>
      <c r="AG602" s="93"/>
      <c r="AH602" s="93"/>
      <c r="AI602" s="93"/>
      <c r="AJ602" s="93"/>
    </row>
    <row r="603" spans="30:36" ht="18">
      <c r="AD603" s="93"/>
      <c r="AE603" s="214"/>
      <c r="AF603" s="93"/>
      <c r="AG603" s="93"/>
      <c r="AH603" s="93"/>
      <c r="AI603" s="93"/>
      <c r="AJ603" s="93"/>
    </row>
    <row r="604" spans="30:36" ht="18">
      <c r="AD604" s="93"/>
      <c r="AE604" s="214"/>
      <c r="AF604" s="93"/>
      <c r="AG604" s="93"/>
      <c r="AH604" s="93"/>
      <c r="AI604" s="93"/>
      <c r="AJ604" s="93"/>
    </row>
    <row r="605" spans="30:36" ht="18">
      <c r="AD605" s="93"/>
      <c r="AE605" s="214"/>
      <c r="AF605" s="93"/>
      <c r="AG605" s="93"/>
      <c r="AH605" s="93"/>
      <c r="AI605" s="93"/>
      <c r="AJ605" s="93"/>
    </row>
    <row r="606" spans="30:36" ht="18">
      <c r="AD606" s="93"/>
      <c r="AE606" s="214"/>
      <c r="AF606" s="93"/>
      <c r="AG606" s="93"/>
      <c r="AH606" s="93"/>
      <c r="AI606" s="93"/>
      <c r="AJ606" s="93"/>
    </row>
    <row r="607" spans="30:36" ht="18">
      <c r="AD607" s="93"/>
      <c r="AE607" s="214"/>
      <c r="AF607" s="93"/>
      <c r="AG607" s="93"/>
      <c r="AH607" s="93"/>
      <c r="AI607" s="93"/>
      <c r="AJ607" s="93"/>
    </row>
    <row r="608" spans="30:36" ht="18">
      <c r="AD608" s="93"/>
      <c r="AE608" s="214"/>
      <c r="AF608" s="93"/>
      <c r="AG608" s="93"/>
      <c r="AH608" s="93"/>
      <c r="AI608" s="93"/>
      <c r="AJ608" s="93"/>
    </row>
    <row r="609" spans="30:36" ht="18">
      <c r="AD609" s="93"/>
      <c r="AE609" s="214"/>
      <c r="AF609" s="93"/>
      <c r="AG609" s="93"/>
      <c r="AH609" s="93"/>
      <c r="AI609" s="93"/>
      <c r="AJ609" s="93"/>
    </row>
    <row r="610" spans="30:36" ht="18">
      <c r="AD610" s="93"/>
      <c r="AE610" s="214"/>
      <c r="AF610" s="93"/>
      <c r="AG610" s="93"/>
      <c r="AH610" s="93"/>
      <c r="AI610" s="93"/>
      <c r="AJ610" s="93"/>
    </row>
    <row r="611" spans="30:36" ht="18">
      <c r="AD611" s="93"/>
      <c r="AE611" s="214"/>
      <c r="AF611" s="93"/>
      <c r="AG611" s="93"/>
      <c r="AH611" s="93"/>
      <c r="AI611" s="93"/>
      <c r="AJ611" s="93"/>
    </row>
    <row r="612" spans="30:36" ht="18">
      <c r="AD612" s="93"/>
      <c r="AE612" s="214"/>
      <c r="AF612" s="93"/>
      <c r="AG612" s="93"/>
      <c r="AH612" s="93"/>
      <c r="AI612" s="93"/>
      <c r="AJ612" s="93"/>
    </row>
    <row r="613" spans="30:36" ht="18">
      <c r="AD613" s="93"/>
      <c r="AE613" s="214"/>
      <c r="AF613" s="93"/>
      <c r="AG613" s="93"/>
      <c r="AH613" s="93"/>
      <c r="AI613" s="93"/>
      <c r="AJ613" s="93"/>
    </row>
    <row r="614" spans="30:36" ht="18">
      <c r="AD614" s="93"/>
      <c r="AE614" s="214"/>
      <c r="AF614" s="93"/>
      <c r="AG614" s="93"/>
      <c r="AH614" s="93"/>
      <c r="AI614" s="93"/>
      <c r="AJ614" s="93"/>
    </row>
    <row r="615" spans="30:36" ht="18">
      <c r="AD615" s="93"/>
      <c r="AE615" s="214"/>
      <c r="AF615" s="93"/>
      <c r="AG615" s="93"/>
      <c r="AH615" s="93"/>
      <c r="AI615" s="93"/>
      <c r="AJ615" s="93"/>
    </row>
    <row r="616" spans="30:36" ht="18">
      <c r="AD616" s="93"/>
      <c r="AE616" s="214"/>
      <c r="AF616" s="93"/>
      <c r="AG616" s="93"/>
      <c r="AH616" s="93"/>
      <c r="AI616" s="93"/>
      <c r="AJ616" s="93"/>
    </row>
    <row r="617" spans="30:36" ht="18">
      <c r="AD617" s="93"/>
      <c r="AE617" s="214"/>
      <c r="AF617" s="93"/>
      <c r="AG617" s="93"/>
      <c r="AH617" s="93"/>
      <c r="AI617" s="93"/>
      <c r="AJ617" s="93"/>
    </row>
    <row r="618" spans="30:36" ht="18">
      <c r="AD618" s="93"/>
      <c r="AE618" s="214"/>
      <c r="AF618" s="93"/>
      <c r="AG618" s="93"/>
      <c r="AH618" s="93"/>
      <c r="AI618" s="93"/>
      <c r="AJ618" s="93"/>
    </row>
    <row r="619" spans="30:36" ht="18">
      <c r="AD619" s="93"/>
      <c r="AE619" s="214"/>
      <c r="AF619" s="93"/>
      <c r="AG619" s="93"/>
      <c r="AH619" s="93"/>
      <c r="AI619" s="93"/>
      <c r="AJ619" s="93"/>
    </row>
    <row r="620" spans="30:36" ht="18">
      <c r="AD620" s="93"/>
      <c r="AE620" s="214"/>
      <c r="AF620" s="93"/>
      <c r="AG620" s="93"/>
      <c r="AH620" s="93"/>
      <c r="AI620" s="93"/>
      <c r="AJ620" s="93"/>
    </row>
    <row r="621" spans="30:36" ht="18">
      <c r="AD621" s="93"/>
      <c r="AE621" s="214"/>
      <c r="AF621" s="93"/>
      <c r="AG621" s="93"/>
      <c r="AH621" s="93"/>
      <c r="AI621" s="93"/>
      <c r="AJ621" s="93"/>
    </row>
    <row r="622" spans="30:36" ht="18">
      <c r="AD622" s="93"/>
      <c r="AE622" s="214"/>
      <c r="AF622" s="93"/>
      <c r="AG622" s="93"/>
      <c r="AH622" s="93"/>
      <c r="AI622" s="93"/>
      <c r="AJ622" s="93"/>
    </row>
    <row r="623" spans="30:36" ht="18">
      <c r="AD623" s="93"/>
      <c r="AE623" s="214"/>
      <c r="AF623" s="93"/>
      <c r="AG623" s="93"/>
      <c r="AH623" s="93"/>
      <c r="AI623" s="93"/>
      <c r="AJ623" s="93"/>
    </row>
    <row r="624" spans="30:36" ht="18">
      <c r="AD624" s="93"/>
      <c r="AE624" s="214"/>
      <c r="AF624" s="93"/>
      <c r="AG624" s="93"/>
      <c r="AH624" s="93"/>
      <c r="AI624" s="93"/>
      <c r="AJ624" s="93"/>
    </row>
    <row r="625" spans="30:36" ht="18">
      <c r="AD625" s="93"/>
      <c r="AE625" s="214"/>
      <c r="AF625" s="93"/>
      <c r="AG625" s="93"/>
      <c r="AH625" s="93"/>
      <c r="AI625" s="93"/>
      <c r="AJ625" s="93"/>
    </row>
    <row r="626" spans="30:36" ht="18">
      <c r="AD626" s="93"/>
      <c r="AE626" s="214"/>
      <c r="AF626" s="93"/>
      <c r="AG626" s="93"/>
      <c r="AH626" s="93"/>
      <c r="AI626" s="93"/>
      <c r="AJ626" s="93"/>
    </row>
    <row r="627" spans="30:36" ht="18">
      <c r="AD627" s="93"/>
      <c r="AE627" s="214"/>
      <c r="AF627" s="93"/>
      <c r="AG627" s="93"/>
      <c r="AH627" s="93"/>
      <c r="AI627" s="93"/>
      <c r="AJ627" s="93"/>
    </row>
    <row r="628" spans="30:36" ht="18">
      <c r="AD628" s="93"/>
      <c r="AE628" s="214"/>
      <c r="AF628" s="93"/>
      <c r="AG628" s="93"/>
      <c r="AH628" s="93"/>
      <c r="AI628" s="93"/>
      <c r="AJ628" s="93"/>
    </row>
    <row r="629" spans="30:36" ht="18">
      <c r="AD629" s="93"/>
      <c r="AE629" s="214"/>
      <c r="AF629" s="93"/>
      <c r="AG629" s="93"/>
      <c r="AH629" s="93"/>
      <c r="AI629" s="93"/>
      <c r="AJ629" s="93"/>
    </row>
    <row r="630" spans="30:36" ht="18">
      <c r="AD630" s="93"/>
      <c r="AE630" s="214"/>
      <c r="AF630" s="93"/>
      <c r="AG630" s="93"/>
      <c r="AH630" s="93"/>
      <c r="AI630" s="93"/>
      <c r="AJ630" s="93"/>
    </row>
    <row r="631" spans="30:36" ht="18">
      <c r="AD631" s="93"/>
      <c r="AE631" s="214"/>
      <c r="AF631" s="93"/>
      <c r="AG631" s="93"/>
      <c r="AH631" s="93"/>
      <c r="AI631" s="93"/>
      <c r="AJ631" s="93"/>
    </row>
    <row r="632" spans="30:36" ht="18">
      <c r="AD632" s="93"/>
      <c r="AE632" s="214"/>
      <c r="AF632" s="93"/>
      <c r="AG632" s="93"/>
      <c r="AH632" s="93"/>
      <c r="AI632" s="93"/>
      <c r="AJ632" s="93"/>
    </row>
    <row r="633" spans="30:36" ht="18">
      <c r="AD633" s="93"/>
      <c r="AE633" s="215"/>
      <c r="AF633" s="93"/>
      <c r="AG633" s="93"/>
      <c r="AH633" s="93"/>
      <c r="AI633" s="93"/>
      <c r="AJ633" s="93"/>
    </row>
    <row r="634" spans="30:36" ht="18">
      <c r="AD634" s="93"/>
      <c r="AE634" s="214"/>
      <c r="AF634" s="93"/>
      <c r="AG634" s="93"/>
      <c r="AH634" s="93"/>
      <c r="AI634" s="93"/>
      <c r="AJ634" s="93"/>
    </row>
    <row r="635" spans="30:36" ht="18">
      <c r="AD635" s="93"/>
      <c r="AE635" s="214"/>
      <c r="AF635" s="93"/>
      <c r="AG635" s="93"/>
      <c r="AH635" s="93"/>
      <c r="AI635" s="93"/>
      <c r="AJ635" s="93"/>
    </row>
    <row r="636" spans="30:36" ht="18">
      <c r="AD636" s="93"/>
      <c r="AE636" s="214"/>
      <c r="AF636" s="93"/>
      <c r="AG636" s="93"/>
      <c r="AH636" s="93"/>
      <c r="AI636" s="93"/>
      <c r="AJ636" s="93"/>
    </row>
    <row r="637" spans="30:36" ht="18">
      <c r="AD637" s="93"/>
      <c r="AE637" s="214"/>
      <c r="AF637" s="93"/>
      <c r="AG637" s="93"/>
      <c r="AH637" s="93"/>
      <c r="AI637" s="93"/>
      <c r="AJ637" s="93"/>
    </row>
    <row r="638" spans="30:36" ht="18">
      <c r="AD638" s="93"/>
      <c r="AE638" s="214"/>
      <c r="AF638" s="93"/>
      <c r="AG638" s="93"/>
      <c r="AH638" s="93"/>
      <c r="AI638" s="93"/>
      <c r="AJ638" s="93"/>
    </row>
    <row r="639" spans="30:36" ht="18">
      <c r="AD639" s="93"/>
      <c r="AE639" s="214"/>
      <c r="AF639" s="93"/>
      <c r="AG639" s="93"/>
      <c r="AH639" s="93"/>
      <c r="AI639" s="93"/>
      <c r="AJ639" s="93"/>
    </row>
    <row r="640" spans="30:36" ht="18">
      <c r="AD640" s="93"/>
      <c r="AE640" s="214"/>
      <c r="AF640" s="93"/>
      <c r="AG640" s="93"/>
      <c r="AH640" s="93"/>
      <c r="AI640" s="93"/>
      <c r="AJ640" s="93"/>
    </row>
    <row r="641" spans="30:36" ht="18">
      <c r="AD641" s="93"/>
      <c r="AE641" s="214"/>
      <c r="AF641" s="93"/>
      <c r="AG641" s="93"/>
      <c r="AH641" s="93"/>
      <c r="AI641" s="93"/>
      <c r="AJ641" s="93"/>
    </row>
    <row r="642" spans="30:36" ht="18">
      <c r="AD642" s="93"/>
      <c r="AE642" s="214"/>
      <c r="AF642" s="93"/>
      <c r="AG642" s="93"/>
      <c r="AH642" s="93"/>
      <c r="AI642" s="93"/>
      <c r="AJ642" s="93"/>
    </row>
    <row r="643" spans="30:36" ht="18">
      <c r="AD643" s="93"/>
      <c r="AE643" s="214"/>
      <c r="AF643" s="93"/>
      <c r="AG643" s="93"/>
      <c r="AH643" s="93"/>
      <c r="AI643" s="93"/>
      <c r="AJ643" s="93"/>
    </row>
    <row r="644" spans="30:36" ht="18">
      <c r="AD644" s="93"/>
      <c r="AE644" s="214"/>
      <c r="AF644" s="93"/>
      <c r="AG644" s="93"/>
      <c r="AH644" s="93"/>
      <c r="AI644" s="93"/>
      <c r="AJ644" s="93"/>
    </row>
    <row r="645" spans="30:36" ht="18">
      <c r="AD645" s="93"/>
      <c r="AE645" s="214"/>
      <c r="AF645" s="93"/>
      <c r="AG645" s="93"/>
      <c r="AH645" s="93"/>
      <c r="AI645" s="93"/>
      <c r="AJ645" s="93"/>
    </row>
    <row r="646" spans="30:36" ht="18">
      <c r="AD646" s="93"/>
      <c r="AE646" s="214"/>
      <c r="AF646" s="93"/>
      <c r="AG646" s="93"/>
      <c r="AH646" s="93"/>
      <c r="AI646" s="93"/>
      <c r="AJ646" s="93"/>
    </row>
    <row r="647" spans="30:36" ht="18">
      <c r="AD647" s="93"/>
      <c r="AE647" s="214"/>
      <c r="AF647" s="93"/>
      <c r="AG647" s="93"/>
      <c r="AH647" s="93"/>
      <c r="AI647" s="93"/>
      <c r="AJ647" s="93"/>
    </row>
    <row r="648" spans="30:36" ht="18">
      <c r="AD648" s="93"/>
      <c r="AE648" s="214"/>
      <c r="AF648" s="93"/>
      <c r="AG648" s="93"/>
      <c r="AH648" s="93"/>
      <c r="AI648" s="93"/>
      <c r="AJ648" s="93"/>
    </row>
    <row r="649" spans="30:36" ht="18">
      <c r="AD649" s="93"/>
      <c r="AE649" s="214"/>
      <c r="AF649" s="93"/>
      <c r="AG649" s="93"/>
      <c r="AH649" s="93"/>
      <c r="AI649" s="93"/>
      <c r="AJ649" s="93"/>
    </row>
    <row r="650" spans="30:36" ht="18">
      <c r="AD650" s="93"/>
      <c r="AE650" s="214"/>
      <c r="AF650" s="93"/>
      <c r="AG650" s="93"/>
      <c r="AH650" s="93"/>
      <c r="AI650" s="93"/>
      <c r="AJ650" s="93"/>
    </row>
    <row r="651" spans="30:36" ht="18">
      <c r="AD651" s="93"/>
      <c r="AE651" s="214"/>
      <c r="AF651" s="93"/>
      <c r="AG651" s="93"/>
      <c r="AH651" s="93"/>
      <c r="AI651" s="93"/>
      <c r="AJ651" s="93"/>
    </row>
    <row r="652" spans="30:36" ht="18">
      <c r="AD652" s="93"/>
      <c r="AE652" s="214"/>
      <c r="AF652" s="93"/>
      <c r="AG652" s="93"/>
      <c r="AH652" s="93"/>
      <c r="AI652" s="93"/>
      <c r="AJ652" s="93"/>
    </row>
    <row r="653" spans="30:36" ht="18">
      <c r="AD653" s="93"/>
      <c r="AE653" s="214"/>
      <c r="AF653" s="93"/>
      <c r="AG653" s="93"/>
      <c r="AH653" s="93"/>
      <c r="AI653" s="93"/>
      <c r="AJ653" s="93"/>
    </row>
    <row r="654" spans="30:36" ht="18">
      <c r="AD654" s="93"/>
      <c r="AE654" s="214"/>
      <c r="AF654" s="93"/>
      <c r="AG654" s="93"/>
      <c r="AH654" s="93"/>
      <c r="AI654" s="93"/>
      <c r="AJ654" s="93"/>
    </row>
    <row r="655" spans="30:36" ht="18">
      <c r="AD655" s="93"/>
      <c r="AE655" s="214"/>
      <c r="AF655" s="93"/>
      <c r="AG655" s="93"/>
      <c r="AH655" s="93"/>
      <c r="AI655" s="93"/>
      <c r="AJ655" s="93"/>
    </row>
    <row r="656" spans="30:36" ht="18">
      <c r="AD656" s="93"/>
      <c r="AE656" s="214"/>
      <c r="AF656" s="93"/>
      <c r="AG656" s="93"/>
      <c r="AH656" s="93"/>
      <c r="AI656" s="93"/>
      <c r="AJ656" s="93"/>
    </row>
    <row r="657" spans="30:36" ht="18">
      <c r="AD657" s="93"/>
      <c r="AE657" s="214"/>
      <c r="AF657" s="93"/>
      <c r="AG657" s="93"/>
      <c r="AH657" s="93"/>
      <c r="AI657" s="93"/>
      <c r="AJ657" s="93"/>
    </row>
    <row r="658" spans="30:36" ht="18">
      <c r="AD658" s="93"/>
      <c r="AE658" s="214"/>
      <c r="AF658" s="93"/>
      <c r="AG658" s="93"/>
      <c r="AH658" s="93"/>
      <c r="AI658" s="93"/>
      <c r="AJ658" s="93"/>
    </row>
    <row r="659" spans="30:36" ht="18">
      <c r="AD659" s="93"/>
      <c r="AE659" s="214"/>
      <c r="AF659" s="93"/>
      <c r="AG659" s="93"/>
      <c r="AH659" s="93"/>
      <c r="AI659" s="93"/>
      <c r="AJ659" s="93"/>
    </row>
    <row r="660" spans="30:36" ht="18">
      <c r="AD660" s="93"/>
      <c r="AE660" s="214"/>
      <c r="AF660" s="93"/>
      <c r="AG660" s="93"/>
      <c r="AH660" s="93"/>
      <c r="AI660" s="93"/>
      <c r="AJ660" s="93"/>
    </row>
    <row r="661" spans="30:36" ht="18">
      <c r="AD661" s="93"/>
      <c r="AE661" s="214"/>
      <c r="AF661" s="93"/>
      <c r="AG661" s="93"/>
      <c r="AH661" s="93"/>
      <c r="AI661" s="93"/>
      <c r="AJ661" s="93"/>
    </row>
    <row r="662" spans="30:36" ht="18">
      <c r="AD662" s="93"/>
      <c r="AE662" s="214"/>
      <c r="AF662" s="93"/>
      <c r="AG662" s="93"/>
      <c r="AH662" s="93"/>
      <c r="AI662" s="93"/>
      <c r="AJ662" s="93"/>
    </row>
    <row r="663" spans="30:36" ht="18">
      <c r="AD663" s="93"/>
      <c r="AE663" s="214"/>
      <c r="AF663" s="93"/>
      <c r="AG663" s="93"/>
      <c r="AH663" s="93"/>
      <c r="AI663" s="93"/>
      <c r="AJ663" s="93"/>
    </row>
    <row r="664" spans="30:36" ht="18">
      <c r="AD664" s="93"/>
      <c r="AE664" s="214"/>
      <c r="AF664" s="93"/>
      <c r="AG664" s="93"/>
      <c r="AH664" s="93"/>
      <c r="AI664" s="93"/>
      <c r="AJ664" s="93"/>
    </row>
    <row r="665" spans="30:36" ht="18">
      <c r="AD665" s="93"/>
      <c r="AE665" s="214"/>
      <c r="AF665" s="93"/>
      <c r="AG665" s="93"/>
      <c r="AH665" s="93"/>
      <c r="AI665" s="93"/>
      <c r="AJ665" s="93"/>
    </row>
    <row r="666" spans="30:36" ht="18">
      <c r="AD666" s="93"/>
      <c r="AE666" s="214"/>
      <c r="AF666" s="93"/>
      <c r="AG666" s="93"/>
      <c r="AH666" s="93"/>
      <c r="AI666" s="93"/>
      <c r="AJ666" s="93"/>
    </row>
    <row r="667" spans="30:36" ht="18">
      <c r="AD667" s="93"/>
      <c r="AE667" s="214"/>
      <c r="AF667" s="93"/>
      <c r="AG667" s="93"/>
      <c r="AH667" s="93"/>
      <c r="AI667" s="93"/>
      <c r="AJ667" s="93"/>
    </row>
    <row r="668" spans="30:36" ht="18">
      <c r="AD668" s="93"/>
      <c r="AE668" s="214"/>
      <c r="AF668" s="93"/>
      <c r="AG668" s="93"/>
      <c r="AH668" s="93"/>
      <c r="AI668" s="93"/>
      <c r="AJ668" s="93"/>
    </row>
    <row r="669" spans="30:36" ht="18">
      <c r="AD669" s="93"/>
      <c r="AE669" s="214"/>
      <c r="AF669" s="93"/>
      <c r="AG669" s="93"/>
      <c r="AH669" s="93"/>
      <c r="AI669" s="93"/>
      <c r="AJ669" s="93"/>
    </row>
    <row r="670" spans="30:36" ht="18">
      <c r="AD670" s="93"/>
      <c r="AE670" s="214"/>
      <c r="AF670" s="93"/>
      <c r="AG670" s="93"/>
      <c r="AH670" s="93"/>
      <c r="AI670" s="93"/>
      <c r="AJ670" s="93"/>
    </row>
    <row r="671" spans="30:36" ht="18">
      <c r="AD671" s="93"/>
      <c r="AE671" s="214"/>
      <c r="AF671" s="93"/>
      <c r="AG671" s="93"/>
      <c r="AH671" s="93"/>
      <c r="AI671" s="93"/>
      <c r="AJ671" s="93"/>
    </row>
    <row r="672" spans="30:36" ht="18">
      <c r="AD672" s="93"/>
      <c r="AE672" s="214"/>
      <c r="AF672" s="93"/>
      <c r="AG672" s="93"/>
      <c r="AH672" s="93"/>
      <c r="AI672" s="93"/>
      <c r="AJ672" s="93"/>
    </row>
    <row r="673" spans="30:36" ht="18">
      <c r="AD673" s="93"/>
      <c r="AE673" s="214"/>
      <c r="AF673" s="93"/>
      <c r="AG673" s="93"/>
      <c r="AH673" s="93"/>
      <c r="AI673" s="93"/>
      <c r="AJ673" s="93"/>
    </row>
    <row r="674" spans="30:36" ht="18">
      <c r="AD674" s="93"/>
      <c r="AE674" s="214"/>
      <c r="AF674" s="93"/>
      <c r="AG674" s="93"/>
      <c r="AH674" s="93"/>
      <c r="AI674" s="93"/>
      <c r="AJ674" s="93"/>
    </row>
    <row r="675" spans="30:36" ht="18">
      <c r="AD675" s="93"/>
      <c r="AE675" s="214"/>
      <c r="AF675" s="93"/>
      <c r="AG675" s="93"/>
      <c r="AH675" s="93"/>
      <c r="AI675" s="93"/>
      <c r="AJ675" s="93"/>
    </row>
    <row r="676" spans="30:36" ht="18">
      <c r="AD676" s="93"/>
      <c r="AE676" s="214"/>
      <c r="AF676" s="93"/>
      <c r="AG676" s="93"/>
      <c r="AH676" s="93"/>
      <c r="AI676" s="93"/>
      <c r="AJ676" s="93"/>
    </row>
    <row r="677" spans="30:36" ht="18">
      <c r="AD677" s="93"/>
      <c r="AE677" s="214"/>
      <c r="AF677" s="93"/>
      <c r="AG677" s="93"/>
      <c r="AH677" s="93"/>
      <c r="AI677" s="93"/>
      <c r="AJ677" s="93"/>
    </row>
    <row r="678" spans="30:36" ht="18">
      <c r="AD678" s="93"/>
      <c r="AE678" s="214"/>
      <c r="AF678" s="93"/>
      <c r="AG678" s="93"/>
      <c r="AH678" s="93"/>
      <c r="AI678" s="93"/>
      <c r="AJ678" s="93"/>
    </row>
    <row r="679" spans="30:36" ht="18">
      <c r="AD679" s="93"/>
      <c r="AE679" s="214"/>
      <c r="AF679" s="93"/>
      <c r="AG679" s="93"/>
      <c r="AH679" s="93"/>
      <c r="AI679" s="93"/>
      <c r="AJ679" s="93"/>
    </row>
    <row r="680" spans="30:36" ht="18">
      <c r="AD680" s="93"/>
      <c r="AE680" s="214"/>
      <c r="AF680" s="93"/>
      <c r="AG680" s="93"/>
      <c r="AH680" s="93"/>
      <c r="AI680" s="93"/>
      <c r="AJ680" s="93"/>
    </row>
    <row r="681" spans="30:36" ht="18">
      <c r="AD681" s="93"/>
      <c r="AE681" s="214"/>
      <c r="AF681" s="93"/>
      <c r="AG681" s="93"/>
      <c r="AH681" s="93"/>
      <c r="AI681" s="93"/>
      <c r="AJ681" s="93"/>
    </row>
    <row r="682" spans="30:36" ht="18">
      <c r="AD682" s="93"/>
      <c r="AE682" s="214"/>
      <c r="AF682" s="93"/>
      <c r="AG682" s="93"/>
      <c r="AH682" s="93"/>
      <c r="AI682" s="93"/>
      <c r="AJ682" s="93"/>
    </row>
    <row r="683" spans="30:36" ht="18">
      <c r="AD683" s="93"/>
      <c r="AE683" s="214"/>
      <c r="AF683" s="93"/>
      <c r="AG683" s="93"/>
      <c r="AH683" s="93"/>
      <c r="AI683" s="93"/>
      <c r="AJ683" s="93"/>
    </row>
    <row r="684" spans="30:36" ht="18">
      <c r="AD684" s="93"/>
      <c r="AE684" s="214"/>
      <c r="AF684" s="93"/>
      <c r="AG684" s="93"/>
      <c r="AH684" s="93"/>
      <c r="AI684" s="93"/>
      <c r="AJ684" s="93"/>
    </row>
    <row r="685" spans="30:36" ht="18">
      <c r="AD685" s="93"/>
      <c r="AE685" s="214"/>
      <c r="AF685" s="93"/>
      <c r="AG685" s="93"/>
      <c r="AH685" s="93"/>
      <c r="AI685" s="93"/>
      <c r="AJ685" s="93"/>
    </row>
    <row r="686" spans="30:36" ht="18">
      <c r="AD686" s="93"/>
      <c r="AE686" s="214"/>
      <c r="AF686" s="93"/>
      <c r="AG686" s="93"/>
      <c r="AH686" s="93"/>
      <c r="AI686" s="93"/>
      <c r="AJ686" s="93"/>
    </row>
    <row r="687" spans="30:36" ht="18">
      <c r="AD687" s="93"/>
      <c r="AE687" s="214"/>
      <c r="AF687" s="93"/>
      <c r="AG687" s="93"/>
      <c r="AH687" s="93"/>
      <c r="AI687" s="93"/>
      <c r="AJ687" s="93"/>
    </row>
    <row r="688" spans="30:36" ht="18">
      <c r="AD688" s="93"/>
      <c r="AE688" s="214"/>
      <c r="AF688" s="93"/>
      <c r="AG688" s="93"/>
      <c r="AH688" s="93"/>
      <c r="AI688" s="93"/>
      <c r="AJ688" s="93"/>
    </row>
    <row r="689" spans="30:36" ht="18">
      <c r="AD689" s="93"/>
      <c r="AE689" s="214"/>
      <c r="AF689" s="93"/>
      <c r="AG689" s="93"/>
      <c r="AH689" s="93"/>
      <c r="AI689" s="93"/>
      <c r="AJ689" s="93"/>
    </row>
    <row r="690" spans="30:36" ht="18">
      <c r="AD690" s="93"/>
      <c r="AE690" s="214"/>
      <c r="AF690" s="93"/>
      <c r="AG690" s="93"/>
      <c r="AH690" s="93"/>
      <c r="AI690" s="93"/>
      <c r="AJ690" s="93"/>
    </row>
    <row r="691" spans="30:36" ht="18">
      <c r="AD691" s="93"/>
      <c r="AE691" s="214"/>
      <c r="AF691" s="93"/>
      <c r="AG691" s="93"/>
      <c r="AH691" s="93"/>
      <c r="AI691" s="93"/>
      <c r="AJ691" s="93"/>
    </row>
    <row r="692" spans="30:36" ht="18">
      <c r="AD692" s="93"/>
      <c r="AE692" s="214"/>
      <c r="AF692" s="93"/>
      <c r="AG692" s="93"/>
      <c r="AH692" s="93"/>
      <c r="AI692" s="93"/>
      <c r="AJ692" s="93"/>
    </row>
    <row r="693" spans="30:36" ht="18">
      <c r="AD693" s="93"/>
      <c r="AE693" s="214"/>
      <c r="AF693" s="93"/>
      <c r="AG693" s="93"/>
      <c r="AH693" s="93"/>
      <c r="AI693" s="93"/>
      <c r="AJ693" s="93"/>
    </row>
    <row r="694" spans="30:36" ht="18">
      <c r="AD694" s="93"/>
      <c r="AE694" s="214"/>
      <c r="AF694" s="93"/>
      <c r="AG694" s="93"/>
      <c r="AH694" s="93"/>
      <c r="AI694" s="93"/>
      <c r="AJ694" s="93"/>
    </row>
    <row r="695" spans="30:36" ht="18">
      <c r="AD695" s="93"/>
      <c r="AE695" s="214"/>
      <c r="AF695" s="93"/>
      <c r="AG695" s="93"/>
      <c r="AH695" s="93"/>
      <c r="AI695" s="93"/>
      <c r="AJ695" s="93"/>
    </row>
    <row r="696" spans="30:36" ht="18">
      <c r="AD696" s="93"/>
      <c r="AE696" s="214"/>
      <c r="AF696" s="93"/>
      <c r="AG696" s="93"/>
      <c r="AH696" s="93"/>
      <c r="AI696" s="93"/>
      <c r="AJ696" s="93"/>
    </row>
    <row r="697" spans="30:36" ht="18">
      <c r="AD697" s="93"/>
      <c r="AE697" s="214"/>
      <c r="AF697" s="93"/>
      <c r="AG697" s="93"/>
      <c r="AH697" s="93"/>
      <c r="AI697" s="93"/>
      <c r="AJ697" s="93"/>
    </row>
    <row r="698" spans="30:36" ht="18">
      <c r="AD698" s="93"/>
      <c r="AE698" s="214"/>
      <c r="AF698" s="93"/>
      <c r="AG698" s="93"/>
      <c r="AH698" s="93"/>
      <c r="AI698" s="93"/>
      <c r="AJ698" s="93"/>
    </row>
    <row r="699" spans="30:36" ht="18">
      <c r="AD699" s="93"/>
      <c r="AE699" s="214"/>
      <c r="AF699" s="93"/>
      <c r="AG699" s="93"/>
      <c r="AH699" s="93"/>
      <c r="AI699" s="93"/>
      <c r="AJ699" s="93"/>
    </row>
    <row r="700" spans="30:36" ht="18">
      <c r="AD700" s="93"/>
      <c r="AE700" s="214"/>
      <c r="AF700" s="93"/>
      <c r="AG700" s="93"/>
      <c r="AH700" s="93"/>
      <c r="AI700" s="93"/>
      <c r="AJ700" s="93"/>
    </row>
    <row r="701" spans="30:36" ht="18">
      <c r="AD701" s="93"/>
      <c r="AE701" s="214"/>
      <c r="AF701" s="93"/>
      <c r="AG701" s="93"/>
      <c r="AH701" s="93"/>
      <c r="AI701" s="93"/>
      <c r="AJ701" s="93"/>
    </row>
    <row r="702" spans="30:36" ht="18">
      <c r="AD702" s="93"/>
      <c r="AE702" s="214"/>
      <c r="AF702" s="93"/>
      <c r="AG702" s="93"/>
      <c r="AH702" s="93"/>
      <c r="AI702" s="93"/>
      <c r="AJ702" s="93"/>
    </row>
    <row r="703" spans="30:36" ht="18">
      <c r="AD703" s="93"/>
      <c r="AE703" s="214"/>
      <c r="AF703" s="93"/>
      <c r="AG703" s="93"/>
      <c r="AH703" s="93"/>
      <c r="AI703" s="93"/>
      <c r="AJ703" s="93"/>
    </row>
    <row r="704" spans="30:36" ht="18">
      <c r="AD704" s="93"/>
      <c r="AE704" s="214"/>
      <c r="AF704" s="93"/>
      <c r="AG704" s="93"/>
      <c r="AH704" s="93"/>
      <c r="AI704" s="93"/>
      <c r="AJ704" s="93"/>
    </row>
    <row r="705" spans="30:36" ht="18">
      <c r="AD705" s="93"/>
      <c r="AE705" s="214"/>
      <c r="AF705" s="93"/>
      <c r="AG705" s="93"/>
      <c r="AH705" s="93"/>
      <c r="AI705" s="93"/>
      <c r="AJ705" s="93"/>
    </row>
    <row r="706" spans="30:36" ht="18">
      <c r="AD706" s="93"/>
      <c r="AE706" s="214"/>
      <c r="AF706" s="93"/>
      <c r="AG706" s="93"/>
      <c r="AH706" s="93"/>
      <c r="AI706" s="93"/>
      <c r="AJ706" s="93"/>
    </row>
    <row r="707" spans="30:36" ht="18">
      <c r="AD707" s="93"/>
      <c r="AE707" s="214"/>
      <c r="AF707" s="93"/>
      <c r="AG707" s="93"/>
      <c r="AH707" s="93"/>
      <c r="AI707" s="93"/>
      <c r="AJ707" s="93"/>
    </row>
    <row r="708" spans="30:36" ht="18">
      <c r="AD708" s="93"/>
      <c r="AE708" s="214"/>
      <c r="AF708" s="93"/>
      <c r="AG708" s="93"/>
      <c r="AH708" s="93"/>
      <c r="AI708" s="93"/>
      <c r="AJ708" s="93"/>
    </row>
    <row r="709" spans="30:36" ht="18">
      <c r="AD709" s="93"/>
      <c r="AE709" s="214"/>
      <c r="AF709" s="93"/>
      <c r="AG709" s="93"/>
      <c r="AH709" s="93"/>
      <c r="AI709" s="93"/>
      <c r="AJ709" s="93"/>
    </row>
    <row r="710" spans="30:36" ht="18">
      <c r="AD710" s="93"/>
      <c r="AE710" s="214"/>
      <c r="AF710" s="93"/>
      <c r="AG710" s="93"/>
      <c r="AH710" s="93"/>
      <c r="AI710" s="93"/>
      <c r="AJ710" s="93"/>
    </row>
    <row r="711" spans="30:36" ht="18">
      <c r="AD711" s="93"/>
      <c r="AE711" s="214"/>
      <c r="AF711" s="93"/>
      <c r="AG711" s="93"/>
      <c r="AH711" s="93"/>
      <c r="AI711" s="93"/>
      <c r="AJ711" s="93"/>
    </row>
    <row r="712" spans="30:36" ht="18">
      <c r="AD712" s="93"/>
      <c r="AE712" s="214"/>
      <c r="AF712" s="93"/>
      <c r="AG712" s="93"/>
      <c r="AH712" s="93"/>
      <c r="AI712" s="93"/>
      <c r="AJ712" s="93"/>
    </row>
    <row r="713" spans="30:36" ht="18">
      <c r="AD713" s="93"/>
      <c r="AE713" s="214"/>
      <c r="AF713" s="93"/>
      <c r="AG713" s="93"/>
      <c r="AH713" s="93"/>
      <c r="AI713" s="93"/>
      <c r="AJ713" s="93"/>
    </row>
    <row r="714" spans="30:36" ht="18">
      <c r="AD714" s="93"/>
      <c r="AE714" s="214"/>
      <c r="AF714" s="93"/>
      <c r="AG714" s="93"/>
      <c r="AH714" s="93"/>
      <c r="AI714" s="93"/>
      <c r="AJ714" s="93"/>
    </row>
    <row r="715" spans="30:36" ht="18">
      <c r="AD715" s="93"/>
      <c r="AE715" s="214"/>
      <c r="AF715" s="93"/>
      <c r="AG715" s="93"/>
      <c r="AH715" s="93"/>
      <c r="AI715" s="93"/>
      <c r="AJ715" s="93"/>
    </row>
    <row r="716" spans="30:36" ht="18">
      <c r="AD716" s="93"/>
      <c r="AE716" s="214"/>
      <c r="AF716" s="93"/>
      <c r="AG716" s="93"/>
      <c r="AH716" s="93"/>
      <c r="AI716" s="93"/>
      <c r="AJ716" s="93"/>
    </row>
    <row r="717" spans="30:36" ht="18">
      <c r="AD717" s="93"/>
      <c r="AE717" s="214"/>
      <c r="AF717" s="93"/>
      <c r="AG717" s="93"/>
      <c r="AH717" s="93"/>
      <c r="AI717" s="93"/>
      <c r="AJ717" s="93"/>
    </row>
    <row r="718" spans="30:36" ht="18">
      <c r="AD718" s="93"/>
      <c r="AE718" s="214"/>
      <c r="AF718" s="93"/>
      <c r="AG718" s="93"/>
      <c r="AH718" s="93"/>
      <c r="AI718" s="93"/>
      <c r="AJ718" s="93"/>
    </row>
    <row r="719" spans="30:36" ht="18">
      <c r="AD719" s="93"/>
      <c r="AE719" s="215"/>
      <c r="AF719" s="93"/>
      <c r="AG719" s="93"/>
      <c r="AH719" s="93"/>
      <c r="AI719" s="93"/>
      <c r="AJ719" s="93"/>
    </row>
    <row r="720" spans="30:36" ht="18">
      <c r="AD720" s="93"/>
      <c r="AE720" s="215"/>
      <c r="AF720" s="93"/>
      <c r="AG720" s="93"/>
      <c r="AH720" s="93"/>
      <c r="AI720" s="93"/>
      <c r="AJ720" s="93"/>
    </row>
    <row r="721" spans="30:36" ht="18">
      <c r="AD721" s="93"/>
      <c r="AE721" s="214"/>
      <c r="AF721" s="93"/>
      <c r="AG721" s="93"/>
      <c r="AH721" s="93"/>
      <c r="AI721" s="93"/>
      <c r="AJ721" s="93"/>
    </row>
    <row r="722" spans="30:36" ht="18">
      <c r="AD722" s="93"/>
      <c r="AE722" s="214"/>
      <c r="AF722" s="93"/>
      <c r="AG722" s="93"/>
      <c r="AH722" s="93"/>
      <c r="AI722" s="93"/>
      <c r="AJ722" s="93"/>
    </row>
    <row r="723" spans="30:36" ht="18">
      <c r="AD723" s="93"/>
      <c r="AE723" s="214"/>
      <c r="AF723" s="93"/>
      <c r="AG723" s="93"/>
      <c r="AH723" s="93"/>
      <c r="AI723" s="93"/>
      <c r="AJ723" s="93"/>
    </row>
    <row r="724" spans="30:36" ht="18">
      <c r="AD724" s="93"/>
      <c r="AE724" s="215"/>
      <c r="AF724" s="93"/>
      <c r="AG724" s="93"/>
      <c r="AH724" s="93"/>
      <c r="AI724" s="93"/>
      <c r="AJ724" s="93"/>
    </row>
    <row r="725" spans="30:36" ht="18">
      <c r="AD725" s="93"/>
      <c r="AE725" s="214"/>
      <c r="AF725" s="93"/>
      <c r="AG725" s="93"/>
      <c r="AH725" s="93"/>
      <c r="AI725" s="93"/>
      <c r="AJ725" s="93"/>
    </row>
    <row r="726" spans="30:36" ht="18">
      <c r="AD726" s="93"/>
      <c r="AE726" s="214"/>
      <c r="AF726" s="93"/>
      <c r="AG726" s="93"/>
      <c r="AH726" s="93"/>
      <c r="AI726" s="93"/>
      <c r="AJ726" s="93"/>
    </row>
    <row r="727" spans="30:36" ht="18">
      <c r="AD727" s="93"/>
      <c r="AE727" s="214"/>
      <c r="AF727" s="93"/>
      <c r="AG727" s="93"/>
      <c r="AH727" s="93"/>
      <c r="AI727" s="93"/>
      <c r="AJ727" s="93"/>
    </row>
    <row r="728" spans="30:36" ht="18">
      <c r="AD728" s="93"/>
      <c r="AE728" s="214"/>
      <c r="AF728" s="93"/>
      <c r="AG728" s="93"/>
      <c r="AH728" s="93"/>
      <c r="AI728" s="93"/>
      <c r="AJ728" s="93"/>
    </row>
    <row r="729" spans="30:36" ht="18">
      <c r="AD729" s="93"/>
      <c r="AE729" s="214"/>
      <c r="AF729" s="93"/>
      <c r="AG729" s="93"/>
      <c r="AH729" s="93"/>
      <c r="AI729" s="93"/>
      <c r="AJ729" s="93"/>
    </row>
    <row r="730" spans="30:36" ht="18">
      <c r="AD730" s="93"/>
      <c r="AE730" s="214"/>
      <c r="AF730" s="93"/>
      <c r="AG730" s="93"/>
      <c r="AH730" s="93"/>
      <c r="AI730" s="93"/>
      <c r="AJ730" s="93"/>
    </row>
    <row r="731" spans="30:36" ht="18">
      <c r="AD731" s="93"/>
      <c r="AE731" s="214"/>
      <c r="AF731" s="93"/>
      <c r="AG731" s="93"/>
      <c r="AH731" s="93"/>
      <c r="AI731" s="93"/>
      <c r="AJ731" s="93"/>
    </row>
    <row r="732" spans="30:36" ht="18">
      <c r="AD732" s="93"/>
      <c r="AE732" s="215"/>
      <c r="AF732" s="93"/>
      <c r="AG732" s="93"/>
      <c r="AH732" s="93"/>
      <c r="AI732" s="93"/>
      <c r="AJ732" s="93"/>
    </row>
    <row r="733" spans="30:36" ht="18">
      <c r="AD733" s="93"/>
      <c r="AE733" s="215"/>
      <c r="AF733" s="93"/>
      <c r="AG733" s="93"/>
      <c r="AH733" s="93"/>
      <c r="AI733" s="93"/>
      <c r="AJ733" s="93"/>
    </row>
    <row r="734" spans="30:36" ht="18">
      <c r="AD734" s="93"/>
      <c r="AE734" s="214"/>
      <c r="AF734" s="93"/>
      <c r="AG734" s="93"/>
      <c r="AH734" s="93"/>
      <c r="AI734" s="93"/>
      <c r="AJ734" s="93"/>
    </row>
    <row r="735" spans="30:36" ht="18">
      <c r="AD735" s="93"/>
      <c r="AE735" s="214"/>
      <c r="AF735" s="93"/>
      <c r="AG735" s="93"/>
      <c r="AH735" s="93"/>
      <c r="AI735" s="93"/>
      <c r="AJ735" s="93"/>
    </row>
    <row r="736" spans="30:36" ht="18">
      <c r="AD736" s="93"/>
      <c r="AE736" s="214"/>
      <c r="AF736" s="93"/>
      <c r="AG736" s="93"/>
      <c r="AH736" s="93"/>
      <c r="AI736" s="93"/>
      <c r="AJ736" s="93"/>
    </row>
    <row r="737" spans="30:36" ht="18">
      <c r="AD737" s="93"/>
      <c r="AE737" s="214"/>
      <c r="AF737" s="93"/>
      <c r="AG737" s="93"/>
      <c r="AH737" s="93"/>
      <c r="AI737" s="93"/>
      <c r="AJ737" s="93"/>
    </row>
    <row r="738" spans="30:36" ht="18">
      <c r="AD738" s="93"/>
      <c r="AE738" s="214"/>
      <c r="AF738" s="93"/>
      <c r="AG738" s="93"/>
      <c r="AH738" s="93"/>
      <c r="AI738" s="93"/>
      <c r="AJ738" s="93"/>
    </row>
    <row r="739" spans="30:36" ht="18">
      <c r="AD739" s="93"/>
      <c r="AE739" s="214"/>
      <c r="AF739" s="93"/>
      <c r="AG739" s="93"/>
      <c r="AH739" s="93"/>
      <c r="AI739" s="93"/>
      <c r="AJ739" s="93"/>
    </row>
    <row r="740" spans="30:36" ht="18">
      <c r="AD740" s="93"/>
      <c r="AE740" s="214"/>
      <c r="AF740" s="93"/>
      <c r="AG740" s="93"/>
      <c r="AH740" s="93"/>
      <c r="AI740" s="93"/>
      <c r="AJ740" s="93"/>
    </row>
    <row r="741" spans="30:36" ht="18">
      <c r="AD741" s="93"/>
      <c r="AE741" s="214"/>
      <c r="AF741" s="93"/>
      <c r="AG741" s="93"/>
      <c r="AH741" s="93"/>
      <c r="AI741" s="93"/>
      <c r="AJ741" s="93"/>
    </row>
    <row r="742" spans="30:36" ht="18">
      <c r="AD742" s="93"/>
      <c r="AE742" s="214"/>
      <c r="AF742" s="93"/>
      <c r="AG742" s="93"/>
      <c r="AH742" s="93"/>
      <c r="AI742" s="93"/>
      <c r="AJ742" s="93"/>
    </row>
    <row r="743" spans="30:36" ht="18">
      <c r="AD743" s="93"/>
      <c r="AE743" s="214"/>
      <c r="AF743" s="93"/>
      <c r="AG743" s="93"/>
      <c r="AH743" s="93"/>
      <c r="AI743" s="93"/>
      <c r="AJ743" s="93"/>
    </row>
    <row r="744" spans="30:36" ht="18">
      <c r="AD744" s="93"/>
      <c r="AE744" s="214"/>
      <c r="AF744" s="93"/>
      <c r="AG744" s="93"/>
      <c r="AH744" s="93"/>
      <c r="AI744" s="93"/>
      <c r="AJ744" s="93"/>
    </row>
    <row r="745" spans="30:36" ht="18">
      <c r="AD745" s="93"/>
      <c r="AE745" s="214"/>
      <c r="AF745" s="93"/>
      <c r="AG745" s="93"/>
      <c r="AH745" s="93"/>
      <c r="AI745" s="93"/>
      <c r="AJ745" s="93"/>
    </row>
    <row r="746" spans="30:36" ht="18">
      <c r="AD746" s="93"/>
      <c r="AE746" s="214"/>
      <c r="AF746" s="93"/>
      <c r="AG746" s="93"/>
      <c r="AH746" s="93"/>
      <c r="AI746" s="93"/>
      <c r="AJ746" s="93"/>
    </row>
    <row r="747" spans="30:36" ht="18">
      <c r="AD747" s="93"/>
      <c r="AE747" s="214"/>
      <c r="AF747" s="93"/>
      <c r="AG747" s="93"/>
      <c r="AH747" s="93"/>
      <c r="AI747" s="93"/>
      <c r="AJ747" s="93"/>
    </row>
    <row r="748" spans="30:36" ht="18">
      <c r="AD748" s="93"/>
      <c r="AE748" s="214"/>
      <c r="AF748" s="93"/>
      <c r="AG748" s="93"/>
      <c r="AH748" s="93"/>
      <c r="AI748" s="93"/>
      <c r="AJ748" s="93"/>
    </row>
    <row r="749" spans="30:36" ht="18">
      <c r="AD749" s="93"/>
      <c r="AE749" s="214"/>
      <c r="AF749" s="93"/>
      <c r="AG749" s="93"/>
      <c r="AH749" s="93"/>
      <c r="AI749" s="93"/>
      <c r="AJ749" s="93"/>
    </row>
    <row r="750" spans="30:36" ht="18">
      <c r="AD750" s="93"/>
      <c r="AE750" s="214"/>
      <c r="AF750" s="93"/>
      <c r="AG750" s="93"/>
      <c r="AH750" s="93"/>
      <c r="AI750" s="93"/>
      <c r="AJ750" s="93"/>
    </row>
    <row r="751" spans="30:36" ht="18">
      <c r="AD751" s="93"/>
      <c r="AE751" s="214"/>
      <c r="AF751" s="93"/>
      <c r="AG751" s="93"/>
      <c r="AH751" s="93"/>
      <c r="AI751" s="93"/>
      <c r="AJ751" s="93"/>
    </row>
    <row r="752" spans="30:36" ht="18">
      <c r="AD752" s="93"/>
      <c r="AE752" s="214"/>
      <c r="AF752" s="93"/>
      <c r="AG752" s="93"/>
      <c r="AH752" s="93"/>
      <c r="AI752" s="93"/>
      <c r="AJ752" s="93"/>
    </row>
    <row r="753" spans="30:36" ht="18">
      <c r="AD753" s="93"/>
      <c r="AE753" s="214"/>
      <c r="AF753" s="93"/>
      <c r="AG753" s="93"/>
      <c r="AH753" s="93"/>
      <c r="AI753" s="93"/>
      <c r="AJ753" s="93"/>
    </row>
    <row r="754" spans="30:36" ht="18">
      <c r="AD754" s="93"/>
      <c r="AE754" s="214"/>
      <c r="AF754" s="93"/>
      <c r="AG754" s="93"/>
      <c r="AH754" s="93"/>
      <c r="AI754" s="93"/>
      <c r="AJ754" s="93"/>
    </row>
    <row r="755" spans="30:36" ht="18">
      <c r="AD755" s="93"/>
      <c r="AE755" s="214"/>
      <c r="AF755" s="93"/>
      <c r="AG755" s="93"/>
      <c r="AH755" s="93"/>
      <c r="AI755" s="93"/>
      <c r="AJ755" s="93"/>
    </row>
    <row r="756" spans="30:36" ht="18">
      <c r="AD756" s="93"/>
      <c r="AE756" s="214"/>
      <c r="AF756" s="93"/>
      <c r="AG756" s="93"/>
      <c r="AH756" s="93"/>
      <c r="AI756" s="93"/>
      <c r="AJ756" s="93"/>
    </row>
    <row r="757" spans="30:36" ht="18">
      <c r="AD757" s="93"/>
      <c r="AE757" s="214"/>
      <c r="AF757" s="93"/>
      <c r="AG757" s="93"/>
      <c r="AH757" s="93"/>
      <c r="AI757" s="93"/>
      <c r="AJ757" s="93"/>
    </row>
    <row r="758" spans="30:36" ht="18">
      <c r="AD758" s="93"/>
      <c r="AE758" s="214"/>
      <c r="AF758" s="93"/>
      <c r="AG758" s="93"/>
      <c r="AH758" s="93"/>
      <c r="AI758" s="93"/>
      <c r="AJ758" s="93"/>
    </row>
    <row r="759" spans="30:36" ht="18">
      <c r="AD759" s="93"/>
      <c r="AE759" s="214"/>
      <c r="AF759" s="93"/>
      <c r="AG759" s="93"/>
      <c r="AH759" s="93"/>
      <c r="AI759" s="93"/>
      <c r="AJ759" s="93"/>
    </row>
    <row r="760" spans="30:36" ht="18">
      <c r="AD760" s="93"/>
      <c r="AE760" s="214"/>
      <c r="AF760" s="93"/>
      <c r="AG760" s="93"/>
      <c r="AH760" s="93"/>
      <c r="AI760" s="93"/>
      <c r="AJ760" s="93"/>
    </row>
    <row r="761" spans="30:36" ht="18">
      <c r="AD761" s="93"/>
      <c r="AE761" s="214"/>
      <c r="AF761" s="93"/>
      <c r="AG761" s="93"/>
      <c r="AH761" s="93"/>
      <c r="AI761" s="93"/>
      <c r="AJ761" s="93"/>
    </row>
    <row r="762" spans="30:36" ht="18">
      <c r="AD762" s="93"/>
      <c r="AE762" s="214"/>
      <c r="AF762" s="93"/>
      <c r="AG762" s="93"/>
      <c r="AH762" s="93"/>
      <c r="AI762" s="93"/>
      <c r="AJ762" s="93"/>
    </row>
    <row r="763" spans="30:36" ht="18">
      <c r="AD763" s="93"/>
      <c r="AE763" s="214"/>
      <c r="AF763" s="93"/>
      <c r="AG763" s="93"/>
      <c r="AH763" s="93"/>
      <c r="AI763" s="93"/>
      <c r="AJ763" s="93"/>
    </row>
    <row r="764" spans="30:36" ht="18">
      <c r="AD764" s="93"/>
      <c r="AE764" s="214"/>
      <c r="AF764" s="93"/>
      <c r="AG764" s="93"/>
      <c r="AH764" s="93"/>
      <c r="AI764" s="93"/>
      <c r="AJ764" s="93"/>
    </row>
    <row r="765" spans="30:36" ht="18">
      <c r="AD765" s="93"/>
      <c r="AE765" s="214"/>
      <c r="AF765" s="93"/>
      <c r="AG765" s="93"/>
      <c r="AH765" s="93"/>
      <c r="AI765" s="93"/>
      <c r="AJ765" s="93"/>
    </row>
    <row r="766" spans="30:36" ht="18">
      <c r="AD766" s="93"/>
      <c r="AE766" s="214"/>
      <c r="AF766" s="93"/>
      <c r="AG766" s="93"/>
      <c r="AH766" s="93"/>
      <c r="AI766" s="93"/>
      <c r="AJ766" s="93"/>
    </row>
    <row r="767" spans="30:36" ht="18">
      <c r="AD767" s="93"/>
      <c r="AE767" s="214"/>
      <c r="AF767" s="93"/>
      <c r="AG767" s="93"/>
      <c r="AH767" s="93"/>
      <c r="AI767" s="93"/>
      <c r="AJ767" s="93"/>
    </row>
    <row r="768" spans="30:36" ht="18">
      <c r="AD768" s="93"/>
      <c r="AE768" s="214"/>
      <c r="AF768" s="93"/>
      <c r="AG768" s="93"/>
      <c r="AH768" s="93"/>
      <c r="AI768" s="93"/>
      <c r="AJ768" s="93"/>
    </row>
    <row r="769" spans="30:36" ht="18">
      <c r="AD769" s="93"/>
      <c r="AE769" s="214"/>
      <c r="AF769" s="93"/>
      <c r="AG769" s="93"/>
      <c r="AH769" s="93"/>
      <c r="AI769" s="93"/>
      <c r="AJ769" s="93"/>
    </row>
    <row r="770" spans="30:36" ht="18">
      <c r="AD770" s="93"/>
      <c r="AE770" s="214"/>
      <c r="AF770" s="93"/>
      <c r="AG770" s="93"/>
      <c r="AH770" s="93"/>
      <c r="AI770" s="93"/>
      <c r="AJ770" s="93"/>
    </row>
    <row r="771" spans="30:36" ht="18">
      <c r="AD771" s="93"/>
      <c r="AE771" s="214"/>
      <c r="AF771" s="93"/>
      <c r="AG771" s="93"/>
      <c r="AH771" s="93"/>
      <c r="AI771" s="93"/>
      <c r="AJ771" s="93"/>
    </row>
    <row r="772" spans="30:36" ht="18">
      <c r="AD772" s="93"/>
      <c r="AE772" s="214"/>
      <c r="AF772" s="93"/>
      <c r="AG772" s="93"/>
      <c r="AH772" s="93"/>
      <c r="AI772" s="93"/>
      <c r="AJ772" s="93"/>
    </row>
    <row r="773" spans="30:36" ht="18">
      <c r="AD773" s="93"/>
      <c r="AE773" s="214"/>
      <c r="AF773" s="93"/>
      <c r="AG773" s="93"/>
      <c r="AH773" s="93"/>
      <c r="AI773" s="93"/>
      <c r="AJ773" s="93"/>
    </row>
    <row r="774" spans="30:36" ht="18">
      <c r="AD774" s="93"/>
      <c r="AE774" s="214"/>
      <c r="AF774" s="93"/>
      <c r="AG774" s="93"/>
      <c r="AH774" s="93"/>
      <c r="AI774" s="93"/>
      <c r="AJ774" s="93"/>
    </row>
    <row r="775" spans="30:36" ht="18">
      <c r="AD775" s="93"/>
      <c r="AE775" s="214"/>
      <c r="AF775" s="93"/>
      <c r="AG775" s="93"/>
      <c r="AH775" s="93"/>
      <c r="AI775" s="93"/>
      <c r="AJ775" s="93"/>
    </row>
    <row r="776" spans="30:36" ht="18">
      <c r="AD776" s="93"/>
      <c r="AE776" s="214"/>
      <c r="AF776" s="93"/>
      <c r="AG776" s="93"/>
      <c r="AH776" s="93"/>
      <c r="AI776" s="93"/>
      <c r="AJ776" s="93"/>
    </row>
    <row r="777" spans="30:36" ht="18">
      <c r="AD777" s="93"/>
      <c r="AE777" s="214"/>
      <c r="AF777" s="93"/>
      <c r="AG777" s="93"/>
      <c r="AH777" s="93"/>
      <c r="AI777" s="93"/>
      <c r="AJ777" s="93"/>
    </row>
    <row r="778" spans="30:36" ht="18">
      <c r="AD778" s="93"/>
      <c r="AE778" s="215"/>
      <c r="AF778" s="93"/>
      <c r="AG778" s="93"/>
      <c r="AH778" s="93"/>
      <c r="AI778" s="93"/>
      <c r="AJ778" s="93"/>
    </row>
    <row r="779" spans="30:36" ht="18">
      <c r="AD779" s="93"/>
      <c r="AE779" s="215"/>
      <c r="AF779" s="93"/>
      <c r="AG779" s="93"/>
      <c r="AH779" s="93"/>
      <c r="AI779" s="93"/>
      <c r="AJ779" s="93"/>
    </row>
    <row r="780" spans="30:36" ht="18">
      <c r="AD780" s="93"/>
      <c r="AE780" s="215"/>
      <c r="AF780" s="93"/>
      <c r="AG780" s="93"/>
      <c r="AH780" s="93"/>
      <c r="AI780" s="93"/>
      <c r="AJ780" s="93"/>
    </row>
    <row r="781" spans="30:36" ht="18">
      <c r="AD781" s="93"/>
      <c r="AE781" s="214"/>
      <c r="AF781" s="93"/>
      <c r="AG781" s="93"/>
      <c r="AH781" s="93"/>
      <c r="AI781" s="93"/>
      <c r="AJ781" s="93"/>
    </row>
    <row r="782" spans="30:36" ht="18">
      <c r="AD782" s="93"/>
      <c r="AE782" s="214"/>
      <c r="AF782" s="93"/>
      <c r="AG782" s="93"/>
      <c r="AH782" s="93"/>
      <c r="AI782" s="93"/>
      <c r="AJ782" s="93"/>
    </row>
    <row r="783" spans="30:36" ht="18">
      <c r="AD783" s="93"/>
      <c r="AE783" s="214"/>
      <c r="AF783" s="93"/>
      <c r="AG783" s="93"/>
      <c r="AH783" s="93"/>
      <c r="AI783" s="93"/>
      <c r="AJ783" s="93"/>
    </row>
    <row r="784" spans="30:36" ht="18">
      <c r="AD784" s="93"/>
      <c r="AE784" s="215"/>
      <c r="AF784" s="93"/>
      <c r="AG784" s="93"/>
      <c r="AH784" s="93"/>
      <c r="AI784" s="93"/>
      <c r="AJ784" s="93"/>
    </row>
    <row r="785" spans="30:36" ht="18">
      <c r="AD785" s="93"/>
      <c r="AE785" s="215"/>
      <c r="AF785" s="93"/>
      <c r="AG785" s="93"/>
      <c r="AH785" s="93"/>
      <c r="AI785" s="93"/>
      <c r="AJ785" s="93"/>
    </row>
    <row r="786" spans="30:36" ht="18">
      <c r="AD786" s="93"/>
      <c r="AE786" s="215"/>
      <c r="AF786" s="93"/>
      <c r="AG786" s="93"/>
      <c r="AH786" s="93"/>
      <c r="AI786" s="93"/>
      <c r="AJ786" s="93"/>
    </row>
    <row r="787" spans="30:36" ht="18">
      <c r="AD787" s="93"/>
      <c r="AE787" s="214"/>
      <c r="AF787" s="93"/>
      <c r="AG787" s="93"/>
      <c r="AH787" s="93"/>
      <c r="AI787" s="93"/>
      <c r="AJ787" s="93"/>
    </row>
    <row r="788" spans="30:36" ht="18">
      <c r="AD788" s="93"/>
      <c r="AE788" s="214"/>
      <c r="AF788" s="93"/>
      <c r="AG788" s="93"/>
      <c r="AH788" s="93"/>
      <c r="AI788" s="93"/>
      <c r="AJ788" s="93"/>
    </row>
    <row r="789" spans="30:36" ht="18">
      <c r="AD789" s="93"/>
      <c r="AE789" s="215"/>
      <c r="AF789" s="93"/>
      <c r="AG789" s="93"/>
      <c r="AH789" s="93"/>
      <c r="AI789" s="93"/>
      <c r="AJ789" s="93"/>
    </row>
    <row r="790" spans="30:36" ht="18">
      <c r="AD790" s="93"/>
      <c r="AE790" s="214"/>
      <c r="AF790" s="93"/>
      <c r="AG790" s="93"/>
      <c r="AH790" s="93"/>
      <c r="AI790" s="93"/>
      <c r="AJ790" s="93"/>
    </row>
    <row r="791" spans="30:36" ht="18">
      <c r="AD791" s="93"/>
      <c r="AE791" s="214"/>
      <c r="AF791" s="93"/>
      <c r="AG791" s="93"/>
      <c r="AH791" s="93"/>
      <c r="AI791" s="93"/>
      <c r="AJ791" s="93"/>
    </row>
    <row r="792" spans="30:36" ht="18">
      <c r="AD792" s="93"/>
      <c r="AE792" s="215"/>
      <c r="AF792" s="93"/>
      <c r="AG792" s="93"/>
      <c r="AH792" s="93"/>
      <c r="AI792" s="93"/>
      <c r="AJ792" s="93"/>
    </row>
    <row r="793" spans="30:36" ht="18">
      <c r="AD793" s="93"/>
      <c r="AE793" s="214"/>
      <c r="AF793" s="93"/>
      <c r="AG793" s="93"/>
      <c r="AH793" s="93"/>
      <c r="AI793" s="93"/>
      <c r="AJ793" s="93"/>
    </row>
    <row r="794" spans="30:36" ht="18">
      <c r="AD794" s="93"/>
      <c r="AE794" s="214"/>
      <c r="AF794" s="93"/>
      <c r="AG794" s="93"/>
      <c r="AH794" s="93"/>
      <c r="AI794" s="93"/>
      <c r="AJ794" s="93"/>
    </row>
    <row r="795" spans="30:36" ht="18">
      <c r="AD795" s="93"/>
      <c r="AE795" s="215"/>
      <c r="AF795" s="93"/>
      <c r="AG795" s="93"/>
      <c r="AH795" s="93"/>
      <c r="AI795" s="93"/>
      <c r="AJ795" s="93"/>
    </row>
    <row r="796" spans="30:36" ht="18">
      <c r="AD796" s="93"/>
      <c r="AE796" s="214"/>
      <c r="AF796" s="93"/>
      <c r="AG796" s="93"/>
      <c r="AH796" s="93"/>
      <c r="AI796" s="93"/>
      <c r="AJ796" s="93"/>
    </row>
    <row r="797" spans="30:36" ht="18">
      <c r="AD797" s="93"/>
      <c r="AE797" s="214"/>
      <c r="AF797" s="93"/>
      <c r="AG797" s="93"/>
      <c r="AH797" s="93"/>
      <c r="AI797" s="93"/>
      <c r="AJ797" s="93"/>
    </row>
    <row r="798" spans="30:36" ht="18">
      <c r="AD798" s="93"/>
      <c r="AE798" s="215"/>
      <c r="AF798" s="93"/>
      <c r="AG798" s="93"/>
      <c r="AH798" s="93"/>
      <c r="AI798" s="93"/>
      <c r="AJ798" s="93"/>
    </row>
    <row r="799" spans="30:36" ht="18">
      <c r="AD799" s="93"/>
      <c r="AE799" s="214"/>
      <c r="AF799" s="93"/>
      <c r="AG799" s="93"/>
      <c r="AH799" s="93"/>
      <c r="AI799" s="93"/>
      <c r="AJ799" s="93"/>
    </row>
    <row r="800" spans="30:36" ht="18">
      <c r="AD800" s="93"/>
      <c r="AE800" s="214"/>
      <c r="AF800" s="93"/>
      <c r="AG800" s="93"/>
      <c r="AH800" s="93"/>
      <c r="AI800" s="93"/>
      <c r="AJ800" s="93"/>
    </row>
    <row r="801" spans="30:36" ht="18">
      <c r="AD801" s="93"/>
      <c r="AE801" s="214"/>
      <c r="AF801" s="93"/>
      <c r="AG801" s="93"/>
      <c r="AH801" s="93"/>
      <c r="AI801" s="93"/>
      <c r="AJ801" s="93"/>
    </row>
    <row r="802" spans="30:36" ht="18">
      <c r="AD802" s="93"/>
      <c r="AE802" s="214"/>
      <c r="AF802" s="93"/>
      <c r="AG802" s="93"/>
      <c r="AH802" s="93"/>
      <c r="AI802" s="93"/>
      <c r="AJ802" s="93"/>
    </row>
    <row r="803" spans="30:36" ht="18">
      <c r="AD803" s="93"/>
      <c r="AE803" s="214"/>
      <c r="AF803" s="93"/>
      <c r="AG803" s="93"/>
      <c r="AH803" s="93"/>
      <c r="AI803" s="93"/>
      <c r="AJ803" s="93"/>
    </row>
    <row r="804" spans="30:36" ht="18">
      <c r="AD804" s="93"/>
      <c r="AE804" s="215"/>
      <c r="AF804" s="93"/>
      <c r="AG804" s="93"/>
      <c r="AH804" s="93"/>
      <c r="AI804" s="93"/>
      <c r="AJ804" s="93"/>
    </row>
    <row r="805" spans="30:36" ht="18">
      <c r="AD805" s="93"/>
      <c r="AE805" s="215"/>
      <c r="AF805" s="93"/>
      <c r="AG805" s="93"/>
      <c r="AH805" s="93"/>
      <c r="AI805" s="93"/>
      <c r="AJ805" s="93"/>
    </row>
    <row r="806" spans="30:36" ht="18">
      <c r="AD806" s="93"/>
      <c r="AE806" s="214"/>
      <c r="AF806" s="93"/>
      <c r="AG806" s="93"/>
      <c r="AH806" s="93"/>
      <c r="AI806" s="93"/>
      <c r="AJ806" s="93"/>
    </row>
    <row r="807" spans="30:36" ht="18">
      <c r="AD807" s="93"/>
      <c r="AE807" s="214"/>
      <c r="AF807" s="93"/>
      <c r="AG807" s="93"/>
      <c r="AH807" s="93"/>
      <c r="AI807" s="93"/>
      <c r="AJ807" s="93"/>
    </row>
    <row r="808" spans="30:36" ht="18">
      <c r="AD808" s="93"/>
      <c r="AE808" s="214"/>
      <c r="AF808" s="93"/>
      <c r="AG808" s="93"/>
      <c r="AH808" s="93"/>
      <c r="AI808" s="93"/>
      <c r="AJ808" s="93"/>
    </row>
    <row r="809" spans="30:36" ht="18">
      <c r="AD809" s="93"/>
      <c r="AE809" s="214"/>
      <c r="AF809" s="93"/>
      <c r="AG809" s="93"/>
      <c r="AH809" s="93"/>
      <c r="AI809" s="93"/>
      <c r="AJ809" s="93"/>
    </row>
    <row r="810" spans="30:36" ht="18">
      <c r="AD810" s="93"/>
      <c r="AE810" s="214"/>
      <c r="AF810" s="93"/>
      <c r="AG810" s="93"/>
      <c r="AH810" s="93"/>
      <c r="AI810" s="93"/>
      <c r="AJ810" s="93"/>
    </row>
    <row r="811" spans="30:36" ht="18">
      <c r="AD811" s="93"/>
      <c r="AE811" s="214"/>
      <c r="AF811" s="93"/>
      <c r="AG811" s="93"/>
      <c r="AH811" s="93"/>
      <c r="AI811" s="93"/>
      <c r="AJ811" s="93"/>
    </row>
    <row r="812" spans="30:36" ht="18">
      <c r="AD812" s="93"/>
      <c r="AE812" s="214"/>
      <c r="AF812" s="93"/>
      <c r="AG812" s="93"/>
      <c r="AH812" s="93"/>
      <c r="AI812" s="93"/>
      <c r="AJ812" s="93"/>
    </row>
    <row r="813" spans="30:36" ht="18">
      <c r="AD813" s="93"/>
      <c r="AE813" s="214"/>
      <c r="AF813" s="93"/>
      <c r="AG813" s="93"/>
      <c r="AH813" s="93"/>
      <c r="AI813" s="93"/>
      <c r="AJ813" s="93"/>
    </row>
    <row r="814" spans="30:36" ht="18">
      <c r="AD814" s="93"/>
      <c r="AE814" s="214"/>
      <c r="AF814" s="93"/>
      <c r="AG814" s="93"/>
      <c r="AH814" s="93"/>
      <c r="AI814" s="93"/>
      <c r="AJ814" s="93"/>
    </row>
    <row r="815" spans="30:36" ht="18">
      <c r="AD815" s="93"/>
      <c r="AE815" s="214"/>
      <c r="AF815" s="93"/>
      <c r="AG815" s="93"/>
      <c r="AH815" s="93"/>
      <c r="AI815" s="93"/>
      <c r="AJ815" s="93"/>
    </row>
    <row r="816" spans="30:36" ht="18">
      <c r="AD816" s="93"/>
      <c r="AE816" s="214"/>
      <c r="AF816" s="93"/>
      <c r="AG816" s="93"/>
      <c r="AH816" s="93"/>
      <c r="AI816" s="93"/>
      <c r="AJ816" s="93"/>
    </row>
    <row r="817" spans="30:36" ht="18">
      <c r="AD817" s="93"/>
      <c r="AE817" s="214"/>
      <c r="AF817" s="93"/>
      <c r="AG817" s="93"/>
      <c r="AH817" s="93"/>
      <c r="AI817" s="93"/>
      <c r="AJ817" s="93"/>
    </row>
    <row r="818" spans="30:36" ht="18">
      <c r="AD818" s="93"/>
      <c r="AE818" s="214"/>
      <c r="AF818" s="93"/>
      <c r="AG818" s="93"/>
      <c r="AH818" s="93"/>
      <c r="AI818" s="93"/>
      <c r="AJ818" s="93"/>
    </row>
    <row r="819" spans="30:36" ht="18">
      <c r="AD819" s="93"/>
      <c r="AE819" s="214"/>
      <c r="AF819" s="93"/>
      <c r="AG819" s="93"/>
      <c r="AH819" s="93"/>
      <c r="AI819" s="93"/>
      <c r="AJ819" s="93"/>
    </row>
    <row r="820" spans="30:36" ht="18">
      <c r="AD820" s="93"/>
      <c r="AE820" s="214"/>
      <c r="AF820" s="93"/>
      <c r="AG820" s="93"/>
      <c r="AH820" s="93"/>
      <c r="AI820" s="93"/>
      <c r="AJ820" s="93"/>
    </row>
    <row r="821" spans="30:36" ht="18">
      <c r="AD821" s="93"/>
      <c r="AE821" s="214"/>
      <c r="AF821" s="93"/>
      <c r="AG821" s="93"/>
      <c r="AH821" s="93"/>
      <c r="AI821" s="93"/>
      <c r="AJ821" s="93"/>
    </row>
    <row r="822" spans="30:36" ht="18">
      <c r="AD822" s="93"/>
      <c r="AE822" s="214"/>
      <c r="AF822" s="93"/>
      <c r="AG822" s="93"/>
      <c r="AH822" s="93"/>
      <c r="AI822" s="93"/>
      <c r="AJ822" s="93"/>
    </row>
    <row r="823" spans="30:36" ht="18">
      <c r="AD823" s="93"/>
      <c r="AE823" s="214"/>
      <c r="AF823" s="93"/>
      <c r="AG823" s="93"/>
      <c r="AH823" s="93"/>
      <c r="AI823" s="93"/>
      <c r="AJ823" s="93"/>
    </row>
    <row r="824" spans="30:36" ht="18">
      <c r="AD824" s="93"/>
      <c r="AE824" s="214"/>
      <c r="AF824" s="93"/>
      <c r="AG824" s="93"/>
      <c r="AH824" s="93"/>
      <c r="AI824" s="93"/>
      <c r="AJ824" s="93"/>
    </row>
    <row r="825" spans="30:36" ht="18">
      <c r="AD825" s="93"/>
      <c r="AE825" s="214"/>
      <c r="AF825" s="93"/>
      <c r="AG825" s="93"/>
      <c r="AH825" s="93"/>
      <c r="AI825" s="93"/>
      <c r="AJ825" s="93"/>
    </row>
    <row r="826" spans="30:36" ht="18">
      <c r="AD826" s="93"/>
      <c r="AE826" s="214"/>
      <c r="AF826" s="93"/>
      <c r="AG826" s="93"/>
      <c r="AH826" s="93"/>
      <c r="AI826" s="93"/>
      <c r="AJ826" s="93"/>
    </row>
    <row r="827" spans="30:36" ht="18">
      <c r="AD827" s="93"/>
      <c r="AE827" s="214"/>
      <c r="AF827" s="93"/>
      <c r="AG827" s="93"/>
      <c r="AH827" s="93"/>
      <c r="AI827" s="93"/>
      <c r="AJ827" s="93"/>
    </row>
    <row r="828" spans="30:36" ht="18">
      <c r="AD828" s="93"/>
      <c r="AE828" s="214"/>
      <c r="AF828" s="93"/>
      <c r="AG828" s="93"/>
      <c r="AH828" s="93"/>
      <c r="AI828" s="93"/>
      <c r="AJ828" s="93"/>
    </row>
    <row r="829" spans="30:36" ht="18">
      <c r="AD829" s="93"/>
      <c r="AE829" s="214"/>
      <c r="AF829" s="93"/>
      <c r="AG829" s="93"/>
      <c r="AH829" s="93"/>
      <c r="AI829" s="93"/>
      <c r="AJ829" s="93"/>
    </row>
    <row r="830" spans="30:36" ht="18">
      <c r="AD830" s="93"/>
      <c r="AE830" s="214"/>
      <c r="AF830" s="93"/>
      <c r="AG830" s="93"/>
      <c r="AH830" s="93"/>
      <c r="AI830" s="93"/>
      <c r="AJ830" s="93"/>
    </row>
    <row r="831" spans="30:36" ht="18">
      <c r="AD831" s="93"/>
      <c r="AE831" s="214"/>
      <c r="AF831" s="93"/>
      <c r="AG831" s="93"/>
      <c r="AH831" s="93"/>
      <c r="AI831" s="93"/>
      <c r="AJ831" s="93"/>
    </row>
    <row r="832" spans="30:36" ht="18">
      <c r="AD832" s="93"/>
      <c r="AE832" s="214"/>
      <c r="AF832" s="93"/>
      <c r="AG832" s="93"/>
      <c r="AH832" s="93"/>
      <c r="AI832" s="93"/>
      <c r="AJ832" s="93"/>
    </row>
    <row r="833" spans="30:36" ht="18">
      <c r="AD833" s="93"/>
      <c r="AE833" s="214"/>
      <c r="AF833" s="93"/>
      <c r="AG833" s="93"/>
      <c r="AH833" s="93"/>
      <c r="AI833" s="93"/>
      <c r="AJ833" s="93"/>
    </row>
    <row r="834" spans="30:36" ht="18">
      <c r="AD834" s="93"/>
      <c r="AE834" s="214"/>
      <c r="AF834" s="93"/>
      <c r="AG834" s="93"/>
      <c r="AH834" s="93"/>
      <c r="AI834" s="93"/>
      <c r="AJ834" s="93"/>
    </row>
    <row r="835" spans="30:36" ht="18">
      <c r="AD835" s="93"/>
      <c r="AE835" s="214"/>
      <c r="AF835" s="93"/>
      <c r="AG835" s="93"/>
      <c r="AH835" s="93"/>
      <c r="AI835" s="93"/>
      <c r="AJ835" s="93"/>
    </row>
    <row r="836" spans="30:36" ht="18">
      <c r="AD836" s="93"/>
      <c r="AE836" s="214"/>
      <c r="AF836" s="93"/>
      <c r="AG836" s="93"/>
      <c r="AH836" s="93"/>
      <c r="AI836" s="93"/>
      <c r="AJ836" s="93"/>
    </row>
    <row r="837" spans="30:36" ht="18">
      <c r="AD837" s="93"/>
      <c r="AE837" s="214"/>
      <c r="AF837" s="93"/>
      <c r="AG837" s="93"/>
      <c r="AH837" s="93"/>
      <c r="AI837" s="93"/>
      <c r="AJ837" s="93"/>
    </row>
    <row r="838" spans="30:36" ht="18">
      <c r="AD838" s="93"/>
      <c r="AE838" s="214"/>
      <c r="AF838" s="93"/>
      <c r="AG838" s="93"/>
      <c r="AH838" s="93"/>
      <c r="AI838" s="93"/>
      <c r="AJ838" s="93"/>
    </row>
    <row r="839" spans="30:36" ht="18">
      <c r="AD839" s="93"/>
      <c r="AE839" s="214"/>
      <c r="AF839" s="93"/>
      <c r="AG839" s="93"/>
      <c r="AH839" s="93"/>
      <c r="AI839" s="93"/>
      <c r="AJ839" s="93"/>
    </row>
    <row r="840" spans="30:36" ht="18">
      <c r="AD840" s="93"/>
      <c r="AE840" s="214"/>
      <c r="AF840" s="93"/>
      <c r="AG840" s="93"/>
      <c r="AH840" s="93"/>
      <c r="AI840" s="93"/>
      <c r="AJ840" s="93"/>
    </row>
    <row r="841" spans="30:36" ht="18">
      <c r="AD841" s="93"/>
      <c r="AE841" s="214"/>
      <c r="AF841" s="93"/>
      <c r="AG841" s="93"/>
      <c r="AH841" s="93"/>
      <c r="AI841" s="93"/>
      <c r="AJ841" s="93"/>
    </row>
    <row r="842" spans="30:36" ht="18">
      <c r="AD842" s="93"/>
      <c r="AE842" s="214"/>
      <c r="AF842" s="93"/>
      <c r="AG842" s="93"/>
      <c r="AH842" s="93"/>
      <c r="AI842" s="93"/>
      <c r="AJ842" s="93"/>
    </row>
    <row r="843" spans="30:36" ht="18">
      <c r="AD843" s="93"/>
      <c r="AE843" s="214"/>
      <c r="AF843" s="93"/>
      <c r="AG843" s="93"/>
      <c r="AH843" s="93"/>
      <c r="AI843" s="93"/>
      <c r="AJ843" s="93"/>
    </row>
    <row r="844" spans="30:36" ht="18">
      <c r="AD844" s="93"/>
      <c r="AE844" s="215"/>
      <c r="AF844" s="93"/>
      <c r="AG844" s="93"/>
      <c r="AH844" s="93"/>
      <c r="AI844" s="93"/>
      <c r="AJ844" s="93"/>
    </row>
    <row r="845" spans="30:36" ht="18">
      <c r="AD845" s="93"/>
      <c r="AE845" s="215"/>
      <c r="AF845" s="93"/>
      <c r="AG845" s="93"/>
      <c r="AH845" s="93"/>
      <c r="AI845" s="93"/>
      <c r="AJ845" s="93"/>
    </row>
    <row r="846" spans="30:36" ht="18">
      <c r="AD846" s="93"/>
      <c r="AE846" s="214"/>
      <c r="AF846" s="93"/>
      <c r="AG846" s="93"/>
      <c r="AH846" s="93"/>
      <c r="AI846" s="93"/>
      <c r="AJ846" s="93"/>
    </row>
    <row r="847" spans="30:36" ht="18">
      <c r="AD847" s="93"/>
      <c r="AE847" s="214"/>
      <c r="AF847" s="93"/>
      <c r="AG847" s="93"/>
      <c r="AH847" s="93"/>
      <c r="AI847" s="93"/>
      <c r="AJ847" s="93"/>
    </row>
    <row r="848" spans="30:36" ht="18">
      <c r="AD848" s="93"/>
      <c r="AE848" s="214"/>
      <c r="AF848" s="93"/>
      <c r="AG848" s="93"/>
      <c r="AH848" s="93"/>
      <c r="AI848" s="93"/>
      <c r="AJ848" s="93"/>
    </row>
    <row r="849" spans="30:36" ht="18">
      <c r="AD849" s="93"/>
      <c r="AE849" s="214"/>
      <c r="AF849" s="93"/>
      <c r="AG849" s="93"/>
      <c r="AH849" s="93"/>
      <c r="AI849" s="93"/>
      <c r="AJ849" s="93"/>
    </row>
    <row r="850" spans="30:36" ht="18">
      <c r="AD850" s="93"/>
      <c r="AE850" s="214"/>
      <c r="AF850" s="93"/>
      <c r="AG850" s="93"/>
      <c r="AH850" s="93"/>
      <c r="AI850" s="93"/>
      <c r="AJ850" s="93"/>
    </row>
    <row r="851" spans="30:36" ht="18">
      <c r="AD851" s="93"/>
      <c r="AE851" s="214"/>
      <c r="AF851" s="93"/>
      <c r="AG851" s="93"/>
      <c r="AH851" s="93"/>
      <c r="AI851" s="93"/>
      <c r="AJ851" s="93"/>
    </row>
    <row r="852" spans="30:36" ht="18">
      <c r="AD852" s="93"/>
      <c r="AE852" s="214"/>
      <c r="AF852" s="93"/>
      <c r="AG852" s="93"/>
      <c r="AH852" s="93"/>
      <c r="AI852" s="93"/>
      <c r="AJ852" s="93"/>
    </row>
    <row r="853" spans="30:36" ht="18">
      <c r="AD853" s="93"/>
      <c r="AE853" s="214"/>
      <c r="AF853" s="93"/>
      <c r="AG853" s="93"/>
      <c r="AH853" s="93"/>
      <c r="AI853" s="93"/>
      <c r="AJ853" s="93"/>
    </row>
    <row r="854" spans="30:36" ht="18">
      <c r="AD854" s="93"/>
      <c r="AE854" s="214"/>
      <c r="AF854" s="93"/>
      <c r="AG854" s="93"/>
      <c r="AH854" s="93"/>
      <c r="AI854" s="93"/>
      <c r="AJ854" s="93"/>
    </row>
    <row r="855" spans="30:36" ht="18">
      <c r="AD855" s="93"/>
      <c r="AE855" s="214"/>
      <c r="AF855" s="93"/>
      <c r="AG855" s="93"/>
      <c r="AH855" s="93"/>
      <c r="AI855" s="93"/>
      <c r="AJ855" s="93"/>
    </row>
    <row r="856" spans="30:36" ht="18">
      <c r="AD856" s="93"/>
      <c r="AE856" s="214"/>
      <c r="AF856" s="93"/>
      <c r="AG856" s="93"/>
      <c r="AH856" s="93"/>
      <c r="AI856" s="93"/>
      <c r="AJ856" s="93"/>
    </row>
    <row r="857" spans="30:36" ht="18">
      <c r="AD857" s="93"/>
      <c r="AE857" s="214"/>
      <c r="AF857" s="93"/>
      <c r="AG857" s="93"/>
      <c r="AH857" s="93"/>
      <c r="AI857" s="93"/>
      <c r="AJ857" s="93"/>
    </row>
    <row r="858" spans="30:36" ht="18">
      <c r="AD858" s="93"/>
      <c r="AE858" s="214"/>
      <c r="AF858" s="93"/>
      <c r="AG858" s="93"/>
      <c r="AH858" s="93"/>
      <c r="AI858" s="93"/>
      <c r="AJ858" s="93"/>
    </row>
    <row r="859" spans="30:36" ht="18">
      <c r="AD859" s="93"/>
      <c r="AE859" s="214"/>
      <c r="AF859" s="93"/>
      <c r="AG859" s="93"/>
      <c r="AH859" s="93"/>
      <c r="AI859" s="93"/>
      <c r="AJ859" s="93"/>
    </row>
    <row r="860" spans="30:36" ht="18">
      <c r="AD860" s="93"/>
      <c r="AE860" s="214"/>
      <c r="AF860" s="93"/>
      <c r="AG860" s="93"/>
      <c r="AH860" s="93"/>
      <c r="AI860" s="93"/>
      <c r="AJ860" s="93"/>
    </row>
    <row r="861" spans="30:36" ht="18">
      <c r="AD861" s="93"/>
      <c r="AE861" s="214"/>
      <c r="AF861" s="93"/>
      <c r="AG861" s="93"/>
      <c r="AH861" s="93"/>
      <c r="AI861" s="93"/>
      <c r="AJ861" s="93"/>
    </row>
    <row r="862" spans="30:36" ht="18">
      <c r="AD862" s="93"/>
      <c r="AE862" s="214"/>
      <c r="AF862" s="93"/>
      <c r="AG862" s="93"/>
      <c r="AH862" s="93"/>
      <c r="AI862" s="93"/>
      <c r="AJ862" s="93"/>
    </row>
    <row r="863" spans="30:36" ht="18">
      <c r="AD863" s="93"/>
      <c r="AE863" s="214"/>
      <c r="AF863" s="93"/>
      <c r="AG863" s="93"/>
      <c r="AH863" s="93"/>
      <c r="AI863" s="93"/>
      <c r="AJ863" s="93"/>
    </row>
    <row r="864" spans="30:36" ht="18">
      <c r="AD864" s="93"/>
      <c r="AE864" s="214"/>
      <c r="AF864" s="93"/>
      <c r="AG864" s="93"/>
      <c r="AH864" s="93"/>
      <c r="AI864" s="93"/>
      <c r="AJ864" s="93"/>
    </row>
    <row r="865" spans="30:36" ht="18">
      <c r="AD865" s="93"/>
      <c r="AE865" s="215"/>
      <c r="AF865" s="93"/>
      <c r="AG865" s="93"/>
      <c r="AH865" s="93"/>
      <c r="AI865" s="93"/>
      <c r="AJ865" s="93"/>
    </row>
    <row r="866" spans="30:36" ht="18">
      <c r="AD866" s="93"/>
      <c r="AE866" s="215"/>
      <c r="AF866" s="93"/>
      <c r="AG866" s="93"/>
      <c r="AH866" s="93"/>
      <c r="AI866" s="93"/>
      <c r="AJ866" s="93"/>
    </row>
    <row r="867" spans="30:36" ht="18">
      <c r="AD867" s="93"/>
      <c r="AE867" s="214"/>
      <c r="AF867" s="93"/>
      <c r="AG867" s="93"/>
      <c r="AH867" s="93"/>
      <c r="AI867" s="93"/>
      <c r="AJ867" s="93"/>
    </row>
    <row r="868" spans="30:36" ht="18">
      <c r="AD868" s="93"/>
      <c r="AE868" s="214"/>
      <c r="AF868" s="93"/>
      <c r="AG868" s="93"/>
      <c r="AH868" s="93"/>
      <c r="AI868" s="93"/>
      <c r="AJ868" s="93"/>
    </row>
    <row r="869" spans="30:36" ht="18">
      <c r="AD869" s="93"/>
      <c r="AE869" s="214"/>
      <c r="AF869" s="93"/>
      <c r="AG869" s="93"/>
      <c r="AH869" s="93"/>
      <c r="AI869" s="93"/>
      <c r="AJ869" s="93"/>
    </row>
    <row r="870" spans="30:36" ht="18">
      <c r="AD870" s="93"/>
      <c r="AE870" s="215"/>
      <c r="AF870" s="93"/>
      <c r="AG870" s="93"/>
      <c r="AH870" s="93"/>
      <c r="AI870" s="93"/>
      <c r="AJ870" s="93"/>
    </row>
    <row r="871" spans="30:36" ht="18">
      <c r="AD871" s="93"/>
      <c r="AE871" s="214"/>
      <c r="AF871" s="93"/>
      <c r="AG871" s="93"/>
      <c r="AH871" s="93"/>
      <c r="AI871" s="93"/>
      <c r="AJ871" s="93"/>
    </row>
    <row r="872" spans="30:36" ht="18">
      <c r="AD872" s="93"/>
      <c r="AE872" s="214"/>
      <c r="AF872" s="93"/>
      <c r="AG872" s="93"/>
      <c r="AH872" s="93"/>
      <c r="AI872" s="93"/>
      <c r="AJ872" s="93"/>
    </row>
    <row r="873" spans="30:36" ht="18">
      <c r="AD873" s="93"/>
      <c r="AE873" s="214"/>
      <c r="AF873" s="93"/>
      <c r="AG873" s="93"/>
      <c r="AH873" s="93"/>
      <c r="AI873" s="93"/>
      <c r="AJ873" s="93"/>
    </row>
    <row r="874" spans="30:36" ht="18">
      <c r="AD874" s="93"/>
      <c r="AE874" s="214"/>
      <c r="AF874" s="93"/>
      <c r="AG874" s="93"/>
      <c r="AH874" s="93"/>
      <c r="AI874" s="93"/>
      <c r="AJ874" s="93"/>
    </row>
    <row r="875" spans="30:36" ht="18">
      <c r="AD875" s="93"/>
      <c r="AE875" s="214"/>
      <c r="AF875" s="93"/>
      <c r="AG875" s="93"/>
      <c r="AH875" s="93"/>
      <c r="AI875" s="93"/>
      <c r="AJ875" s="93"/>
    </row>
    <row r="876" spans="30:36" ht="18">
      <c r="AD876" s="93"/>
      <c r="AE876" s="214"/>
      <c r="AF876" s="93"/>
      <c r="AG876" s="93"/>
      <c r="AH876" s="93"/>
      <c r="AI876" s="93"/>
      <c r="AJ876" s="93"/>
    </row>
    <row r="877" spans="30:36" ht="18">
      <c r="AD877" s="93"/>
      <c r="AE877" s="214"/>
      <c r="AF877" s="93"/>
      <c r="AG877" s="93"/>
      <c r="AH877" s="93"/>
      <c r="AI877" s="93"/>
      <c r="AJ877" s="93"/>
    </row>
    <row r="878" spans="30:36" ht="18">
      <c r="AD878" s="93"/>
      <c r="AE878" s="214"/>
      <c r="AF878" s="93"/>
      <c r="AG878" s="93"/>
      <c r="AH878" s="93"/>
      <c r="AI878" s="93"/>
      <c r="AJ878" s="93"/>
    </row>
    <row r="879" spans="30:36" ht="18">
      <c r="AD879" s="93"/>
      <c r="AE879" s="214"/>
      <c r="AF879" s="93"/>
      <c r="AG879" s="93"/>
      <c r="AH879" s="93"/>
      <c r="AI879" s="93"/>
      <c r="AJ879" s="93"/>
    </row>
    <row r="880" spans="30:36" ht="18">
      <c r="AD880" s="93"/>
      <c r="AE880" s="214"/>
      <c r="AF880" s="93"/>
      <c r="AG880" s="93"/>
      <c r="AH880" s="93"/>
      <c r="AI880" s="93"/>
      <c r="AJ880" s="93"/>
    </row>
    <row r="881" spans="30:36" ht="18">
      <c r="AD881" s="93"/>
      <c r="AE881" s="214"/>
      <c r="AF881" s="93"/>
      <c r="AG881" s="93"/>
      <c r="AH881" s="93"/>
      <c r="AI881" s="93"/>
      <c r="AJ881" s="93"/>
    </row>
    <row r="882" spans="30:36" ht="18">
      <c r="AD882" s="93"/>
      <c r="AE882" s="214"/>
      <c r="AF882" s="93"/>
      <c r="AG882" s="93"/>
      <c r="AH882" s="93"/>
      <c r="AI882" s="93"/>
      <c r="AJ882" s="93"/>
    </row>
    <row r="883" spans="30:36" ht="18">
      <c r="AD883" s="93"/>
      <c r="AE883" s="214"/>
      <c r="AF883" s="93"/>
      <c r="AG883" s="93"/>
      <c r="AH883" s="93"/>
      <c r="AI883" s="93"/>
      <c r="AJ883" s="93"/>
    </row>
    <row r="884" spans="30:36" ht="18">
      <c r="AD884" s="93"/>
      <c r="AE884" s="214"/>
      <c r="AF884" s="93"/>
      <c r="AG884" s="93"/>
      <c r="AH884" s="93"/>
      <c r="AI884" s="93"/>
      <c r="AJ884" s="93"/>
    </row>
    <row r="885" spans="30:36" ht="18">
      <c r="AD885" s="93"/>
      <c r="AE885" s="214"/>
      <c r="AF885" s="93"/>
      <c r="AG885" s="93"/>
      <c r="AH885" s="93"/>
      <c r="AI885" s="93"/>
      <c r="AJ885" s="93"/>
    </row>
    <row r="886" spans="30:36" ht="18">
      <c r="AD886" s="93"/>
      <c r="AE886" s="214"/>
      <c r="AF886" s="93"/>
      <c r="AG886" s="93"/>
      <c r="AH886" s="93"/>
      <c r="AI886" s="93"/>
      <c r="AJ886" s="93"/>
    </row>
    <row r="887" spans="30:36" ht="18">
      <c r="AD887" s="93"/>
      <c r="AE887" s="214"/>
      <c r="AF887" s="93"/>
      <c r="AG887" s="93"/>
      <c r="AH887" s="93"/>
      <c r="AI887" s="93"/>
      <c r="AJ887" s="93"/>
    </row>
    <row r="888" spans="30:36" ht="18">
      <c r="AD888" s="93"/>
      <c r="AE888" s="214"/>
      <c r="AF888" s="93"/>
      <c r="AG888" s="93"/>
      <c r="AH888" s="93"/>
      <c r="AI888" s="93"/>
      <c r="AJ888" s="93"/>
    </row>
    <row r="889" spans="30:36" ht="18">
      <c r="AD889" s="93"/>
      <c r="AE889" s="214"/>
      <c r="AF889" s="93"/>
      <c r="AG889" s="93"/>
      <c r="AH889" s="93"/>
      <c r="AI889" s="93"/>
      <c r="AJ889" s="93"/>
    </row>
    <row r="890" spans="30:36" ht="18">
      <c r="AD890" s="93"/>
      <c r="AE890" s="214"/>
      <c r="AF890" s="93"/>
      <c r="AG890" s="93"/>
      <c r="AH890" s="93"/>
      <c r="AI890" s="93"/>
      <c r="AJ890" s="93"/>
    </row>
    <row r="891" spans="30:36" ht="18">
      <c r="AD891" s="93"/>
      <c r="AE891" s="214"/>
      <c r="AF891" s="93"/>
      <c r="AG891" s="93"/>
      <c r="AH891" s="93"/>
      <c r="AI891" s="93"/>
      <c r="AJ891" s="93"/>
    </row>
    <row r="892" spans="30:36" ht="18">
      <c r="AD892" s="93"/>
      <c r="AE892" s="214"/>
      <c r="AF892" s="93"/>
      <c r="AG892" s="93"/>
      <c r="AH892" s="93"/>
      <c r="AI892" s="93"/>
      <c r="AJ892" s="93"/>
    </row>
    <row r="893" spans="30:36" ht="18">
      <c r="AD893" s="93"/>
      <c r="AE893" s="214"/>
      <c r="AF893" s="93"/>
      <c r="AG893" s="93"/>
      <c r="AH893" s="93"/>
      <c r="AI893" s="93"/>
      <c r="AJ893" s="93"/>
    </row>
    <row r="894" spans="30:36" ht="18">
      <c r="AD894" s="93"/>
      <c r="AE894" s="215"/>
      <c r="AF894" s="93"/>
      <c r="AG894" s="93"/>
      <c r="AH894" s="93"/>
      <c r="AI894" s="93"/>
      <c r="AJ894" s="93"/>
    </row>
    <row r="895" spans="30:36" ht="18">
      <c r="AD895" s="93"/>
      <c r="AE895" s="215"/>
      <c r="AF895" s="93"/>
      <c r="AG895" s="93"/>
      <c r="AH895" s="93"/>
      <c r="AI895" s="93"/>
      <c r="AJ895" s="93"/>
    </row>
    <row r="896" spans="30:36" ht="18">
      <c r="AD896" s="93"/>
      <c r="AE896" s="214"/>
      <c r="AF896" s="93"/>
      <c r="AG896" s="93"/>
      <c r="AH896" s="93"/>
      <c r="AI896" s="93"/>
      <c r="AJ896" s="93"/>
    </row>
    <row r="897" spans="30:36" ht="18">
      <c r="AD897" s="93"/>
      <c r="AE897" s="214"/>
      <c r="AF897" s="93"/>
      <c r="AG897" s="93"/>
      <c r="AH897" s="93"/>
      <c r="AI897" s="93"/>
      <c r="AJ897" s="93"/>
    </row>
    <row r="898" spans="30:36" ht="18">
      <c r="AD898" s="93"/>
      <c r="AE898" s="214"/>
      <c r="AF898" s="93"/>
      <c r="AG898" s="93"/>
      <c r="AH898" s="93"/>
      <c r="AI898" s="93"/>
      <c r="AJ898" s="93"/>
    </row>
    <row r="899" spans="30:36" ht="18">
      <c r="AD899" s="93"/>
      <c r="AE899" s="214"/>
      <c r="AF899" s="93"/>
      <c r="AG899" s="93"/>
      <c r="AH899" s="93"/>
      <c r="AI899" s="93"/>
      <c r="AJ899" s="93"/>
    </row>
    <row r="900" spans="30:36" ht="18">
      <c r="AD900" s="93"/>
      <c r="AE900" s="215"/>
      <c r="AF900" s="93"/>
      <c r="AG900" s="93"/>
      <c r="AH900" s="93"/>
      <c r="AI900" s="93"/>
      <c r="AJ900" s="93"/>
    </row>
    <row r="901" spans="30:36" ht="18">
      <c r="AD901" s="93"/>
      <c r="AE901" s="215"/>
      <c r="AF901" s="93"/>
      <c r="AG901" s="93"/>
      <c r="AH901" s="93"/>
      <c r="AI901" s="93"/>
      <c r="AJ901" s="93"/>
    </row>
    <row r="902" spans="30:36" ht="18">
      <c r="AD902" s="93"/>
      <c r="AE902" s="214"/>
      <c r="AF902" s="93"/>
      <c r="AG902" s="93"/>
      <c r="AH902" s="93"/>
      <c r="AI902" s="93"/>
      <c r="AJ902" s="93"/>
    </row>
    <row r="903" spans="30:36" ht="18">
      <c r="AD903" s="93"/>
      <c r="AE903" s="214"/>
      <c r="AF903" s="93"/>
      <c r="AG903" s="93"/>
      <c r="AH903" s="93"/>
      <c r="AI903" s="93"/>
      <c r="AJ903" s="93"/>
    </row>
    <row r="904" spans="30:36" ht="18">
      <c r="AD904" s="93"/>
      <c r="AE904" s="214"/>
      <c r="AF904" s="93"/>
      <c r="AG904" s="93"/>
      <c r="AH904" s="93"/>
      <c r="AI904" s="93"/>
      <c r="AJ904" s="93"/>
    </row>
    <row r="905" spans="30:36" ht="18">
      <c r="AD905" s="93"/>
      <c r="AE905" s="214"/>
      <c r="AF905" s="93"/>
      <c r="AG905" s="93"/>
      <c r="AH905" s="93"/>
      <c r="AI905" s="93"/>
      <c r="AJ905" s="93"/>
    </row>
    <row r="906" spans="30:36" ht="18">
      <c r="AD906" s="93"/>
      <c r="AE906" s="214"/>
      <c r="AF906" s="93"/>
      <c r="AG906" s="93"/>
      <c r="AH906" s="93"/>
      <c r="AI906" s="93"/>
      <c r="AJ906" s="93"/>
    </row>
    <row r="907" spans="30:36" ht="18">
      <c r="AD907" s="93"/>
      <c r="AE907" s="214"/>
      <c r="AF907" s="93"/>
      <c r="AG907" s="93"/>
      <c r="AH907" s="93"/>
      <c r="AI907" s="93"/>
      <c r="AJ907" s="93"/>
    </row>
    <row r="908" spans="30:36" ht="18">
      <c r="AD908" s="93"/>
      <c r="AE908" s="214"/>
      <c r="AF908" s="93"/>
      <c r="AG908" s="93"/>
      <c r="AH908" s="93"/>
      <c r="AI908" s="93"/>
      <c r="AJ908" s="93"/>
    </row>
    <row r="909" spans="30:36" ht="18">
      <c r="AD909" s="93"/>
      <c r="AE909" s="214"/>
      <c r="AF909" s="93"/>
      <c r="AG909" s="93"/>
      <c r="AH909" s="93"/>
      <c r="AI909" s="93"/>
      <c r="AJ909" s="93"/>
    </row>
    <row r="910" spans="30:36" ht="18">
      <c r="AD910" s="93"/>
      <c r="AE910" s="214"/>
      <c r="AF910" s="93"/>
      <c r="AG910" s="93"/>
      <c r="AH910" s="93"/>
      <c r="AI910" s="93"/>
      <c r="AJ910" s="93"/>
    </row>
    <row r="911" spans="30:36" ht="18">
      <c r="AD911" s="93"/>
      <c r="AE911" s="214"/>
      <c r="AF911" s="93"/>
      <c r="AG911" s="93"/>
      <c r="AH911" s="93"/>
      <c r="AI911" s="93"/>
      <c r="AJ911" s="93"/>
    </row>
    <row r="912" spans="30:36" ht="18">
      <c r="AD912" s="93"/>
      <c r="AE912" s="214"/>
      <c r="AF912" s="93"/>
      <c r="AG912" s="93"/>
      <c r="AH912" s="93"/>
      <c r="AI912" s="93"/>
      <c r="AJ912" s="93"/>
    </row>
    <row r="913" spans="30:36" ht="18">
      <c r="AD913" s="93"/>
      <c r="AE913" s="214"/>
      <c r="AF913" s="93"/>
      <c r="AG913" s="93"/>
      <c r="AH913" s="93"/>
      <c r="AI913" s="93"/>
      <c r="AJ913" s="93"/>
    </row>
    <row r="914" spans="30:36" ht="18">
      <c r="AD914" s="93"/>
      <c r="AE914" s="214"/>
      <c r="AF914" s="93"/>
      <c r="AG914" s="93"/>
      <c r="AH914" s="93"/>
      <c r="AI914" s="93"/>
      <c r="AJ914" s="93"/>
    </row>
    <row r="915" spans="30:36" ht="18">
      <c r="AD915" s="93"/>
      <c r="AE915" s="214"/>
      <c r="AF915" s="93"/>
      <c r="AG915" s="93"/>
      <c r="AH915" s="93"/>
      <c r="AI915" s="93"/>
      <c r="AJ915" s="93"/>
    </row>
    <row r="916" spans="30:36" ht="18">
      <c r="AD916" s="93"/>
      <c r="AE916" s="214"/>
      <c r="AF916" s="93"/>
      <c r="AG916" s="93"/>
      <c r="AH916" s="93"/>
      <c r="AI916" s="93"/>
      <c r="AJ916" s="93"/>
    </row>
    <row r="917" spans="30:36" ht="18">
      <c r="AD917" s="93"/>
      <c r="AE917" s="214"/>
      <c r="AF917" s="93"/>
      <c r="AG917" s="93"/>
      <c r="AH917" s="93"/>
      <c r="AI917" s="93"/>
      <c r="AJ917" s="93"/>
    </row>
    <row r="918" spans="30:36" ht="18">
      <c r="AD918" s="93"/>
      <c r="AE918" s="214"/>
      <c r="AF918" s="93"/>
      <c r="AG918" s="93"/>
      <c r="AH918" s="93"/>
      <c r="AI918" s="93"/>
      <c r="AJ918" s="93"/>
    </row>
    <row r="919" spans="30:36" ht="18">
      <c r="AD919" s="93"/>
      <c r="AE919" s="214"/>
      <c r="AF919" s="93"/>
      <c r="AG919" s="93"/>
      <c r="AH919" s="93"/>
      <c r="AI919" s="93"/>
      <c r="AJ919" s="93"/>
    </row>
    <row r="920" spans="30:36" ht="18">
      <c r="AD920" s="93"/>
      <c r="AE920" s="214"/>
      <c r="AF920" s="93"/>
      <c r="AG920" s="93"/>
      <c r="AH920" s="93"/>
      <c r="AI920" s="93"/>
      <c r="AJ920" s="93"/>
    </row>
    <row r="921" spans="30:36" ht="18">
      <c r="AD921" s="93"/>
      <c r="AE921" s="214"/>
      <c r="AF921" s="93"/>
      <c r="AG921" s="93"/>
      <c r="AH921" s="93"/>
      <c r="AI921" s="93"/>
      <c r="AJ921" s="93"/>
    </row>
    <row r="922" spans="30:36" ht="18">
      <c r="AD922" s="93"/>
      <c r="AE922" s="214"/>
      <c r="AF922" s="93"/>
      <c r="AG922" s="93"/>
      <c r="AH922" s="93"/>
      <c r="AI922" s="93"/>
      <c r="AJ922" s="93"/>
    </row>
    <row r="923" spans="30:36" ht="18">
      <c r="AD923" s="93"/>
      <c r="AE923" s="214"/>
      <c r="AF923" s="93"/>
      <c r="AG923" s="93"/>
      <c r="AH923" s="93"/>
      <c r="AI923" s="93"/>
      <c r="AJ923" s="93"/>
    </row>
    <row r="924" spans="30:36" ht="18">
      <c r="AD924" s="93"/>
      <c r="AE924" s="214"/>
      <c r="AF924" s="93"/>
      <c r="AG924" s="93"/>
      <c r="AH924" s="93"/>
      <c r="AI924" s="93"/>
      <c r="AJ924" s="93"/>
    </row>
    <row r="925" spans="30:36" ht="18">
      <c r="AD925" s="93"/>
      <c r="AE925" s="214"/>
      <c r="AF925" s="93"/>
      <c r="AG925" s="93"/>
      <c r="AH925" s="93"/>
      <c r="AI925" s="93"/>
      <c r="AJ925" s="93"/>
    </row>
    <row r="926" spans="30:36" ht="18">
      <c r="AD926" s="93"/>
      <c r="AE926" s="214"/>
      <c r="AF926" s="93"/>
      <c r="AG926" s="93"/>
      <c r="AH926" s="93"/>
      <c r="AI926" s="93"/>
      <c r="AJ926" s="93"/>
    </row>
    <row r="927" spans="30:36" ht="18">
      <c r="AD927" s="93"/>
      <c r="AE927" s="214"/>
      <c r="AF927" s="93"/>
      <c r="AG927" s="93"/>
      <c r="AH927" s="93"/>
      <c r="AI927" s="93"/>
      <c r="AJ927" s="93"/>
    </row>
    <row r="928" spans="30:36" ht="18">
      <c r="AD928" s="93"/>
      <c r="AE928" s="214"/>
      <c r="AF928" s="93"/>
      <c r="AG928" s="93"/>
      <c r="AH928" s="93"/>
      <c r="AI928" s="93"/>
      <c r="AJ928" s="93"/>
    </row>
    <row r="929" spans="30:36" ht="18">
      <c r="AD929" s="93"/>
      <c r="AE929" s="214"/>
      <c r="AF929" s="93"/>
      <c r="AG929" s="93"/>
      <c r="AH929" s="93"/>
      <c r="AI929" s="93"/>
      <c r="AJ929" s="93"/>
    </row>
    <row r="930" spans="30:36" ht="18">
      <c r="AD930" s="93"/>
      <c r="AE930" s="214"/>
      <c r="AF930" s="93"/>
      <c r="AG930" s="93"/>
      <c r="AH930" s="93"/>
      <c r="AI930" s="93"/>
      <c r="AJ930" s="93"/>
    </row>
    <row r="931" spans="30:36" ht="18">
      <c r="AD931" s="93"/>
      <c r="AE931" s="214"/>
      <c r="AF931" s="93"/>
      <c r="AG931" s="93"/>
      <c r="AH931" s="93"/>
      <c r="AI931" s="93"/>
      <c r="AJ931" s="93"/>
    </row>
    <row r="932" spans="30:36" ht="18">
      <c r="AD932" s="93"/>
      <c r="AE932" s="214"/>
      <c r="AF932" s="93"/>
      <c r="AG932" s="93"/>
      <c r="AH932" s="93"/>
      <c r="AI932" s="93"/>
      <c r="AJ932" s="93"/>
    </row>
    <row r="933" spans="30:36" ht="18">
      <c r="AD933" s="93"/>
      <c r="AE933" s="214"/>
      <c r="AF933" s="93"/>
      <c r="AG933" s="93"/>
      <c r="AH933" s="93"/>
      <c r="AI933" s="93"/>
      <c r="AJ933" s="93"/>
    </row>
    <row r="934" spans="30:36" ht="18">
      <c r="AD934" s="93"/>
      <c r="AE934" s="214"/>
      <c r="AF934" s="93"/>
      <c r="AG934" s="93"/>
      <c r="AH934" s="93"/>
      <c r="AI934" s="93"/>
      <c r="AJ934" s="93"/>
    </row>
    <row r="935" spans="30:36" ht="18">
      <c r="AD935" s="93"/>
      <c r="AE935" s="214"/>
      <c r="AF935" s="93"/>
      <c r="AG935" s="93"/>
      <c r="AH935" s="93"/>
      <c r="AI935" s="93"/>
      <c r="AJ935" s="93"/>
    </row>
    <row r="936" spans="30:36" ht="18">
      <c r="AD936" s="93"/>
      <c r="AE936" s="214"/>
      <c r="AF936" s="93"/>
      <c r="AG936" s="93"/>
      <c r="AH936" s="93"/>
      <c r="AI936" s="93"/>
      <c r="AJ936" s="93"/>
    </row>
    <row r="937" spans="30:36" ht="18">
      <c r="AD937" s="93"/>
      <c r="AE937" s="214"/>
      <c r="AF937" s="93"/>
      <c r="AG937" s="93"/>
      <c r="AH937" s="93"/>
      <c r="AI937" s="93"/>
      <c r="AJ937" s="93"/>
    </row>
    <row r="938" spans="30:36" ht="18">
      <c r="AD938" s="93"/>
      <c r="AE938" s="214"/>
      <c r="AF938" s="93"/>
      <c r="AG938" s="93"/>
      <c r="AH938" s="93"/>
      <c r="AI938" s="93"/>
      <c r="AJ938" s="93"/>
    </row>
    <row r="939" spans="30:36" ht="18">
      <c r="AD939" s="93"/>
      <c r="AE939" s="214"/>
      <c r="AF939" s="93"/>
      <c r="AG939" s="93"/>
      <c r="AH939" s="93"/>
      <c r="AI939" s="93"/>
      <c r="AJ939" s="93"/>
    </row>
    <row r="940" spans="30:36" ht="18">
      <c r="AD940" s="93"/>
      <c r="AE940" s="214"/>
      <c r="AF940" s="93"/>
      <c r="AG940" s="93"/>
      <c r="AH940" s="93"/>
      <c r="AI940" s="93"/>
      <c r="AJ940" s="93"/>
    </row>
    <row r="941" spans="30:36" ht="18">
      <c r="AD941" s="93"/>
      <c r="AE941" s="214"/>
      <c r="AF941" s="93"/>
      <c r="AG941" s="93"/>
      <c r="AH941" s="93"/>
      <c r="AI941" s="93"/>
      <c r="AJ941" s="93"/>
    </row>
    <row r="942" spans="30:36" ht="18">
      <c r="AD942" s="93"/>
      <c r="AE942" s="214"/>
      <c r="AF942" s="93"/>
      <c r="AG942" s="93"/>
      <c r="AH942" s="93"/>
      <c r="AI942" s="93"/>
      <c r="AJ942" s="93"/>
    </row>
    <row r="943" spans="30:36" ht="18">
      <c r="AD943" s="93"/>
      <c r="AE943" s="214"/>
      <c r="AF943" s="93"/>
      <c r="AG943" s="93"/>
      <c r="AH943" s="93"/>
      <c r="AI943" s="93"/>
      <c r="AJ943" s="93"/>
    </row>
    <row r="944" spans="30:36" ht="18">
      <c r="AD944" s="93"/>
      <c r="AE944" s="214"/>
      <c r="AF944" s="93"/>
      <c r="AG944" s="93"/>
      <c r="AH944" s="93"/>
      <c r="AI944" s="93"/>
      <c r="AJ944" s="93"/>
    </row>
    <row r="945" spans="30:36" ht="18">
      <c r="AD945" s="93"/>
      <c r="AE945" s="214"/>
      <c r="AF945" s="93"/>
      <c r="AG945" s="93"/>
      <c r="AH945" s="93"/>
      <c r="AI945" s="93"/>
      <c r="AJ945" s="93"/>
    </row>
    <row r="946" spans="30:36" ht="18">
      <c r="AD946" s="93"/>
      <c r="AE946" s="214"/>
      <c r="AF946" s="93"/>
      <c r="AG946" s="93"/>
      <c r="AH946" s="93"/>
      <c r="AI946" s="93"/>
      <c r="AJ946" s="93"/>
    </row>
    <row r="947" spans="30:36" ht="18">
      <c r="AD947" s="93"/>
      <c r="AE947" s="214"/>
      <c r="AF947" s="93"/>
      <c r="AG947" s="93"/>
      <c r="AH947" s="93"/>
      <c r="AI947" s="93"/>
      <c r="AJ947" s="93"/>
    </row>
    <row r="948" spans="30:36" ht="18">
      <c r="AD948" s="93"/>
      <c r="AE948" s="214"/>
      <c r="AF948" s="93"/>
      <c r="AG948" s="93"/>
      <c r="AH948" s="93"/>
      <c r="AI948" s="93"/>
      <c r="AJ948" s="93"/>
    </row>
    <row r="949" spans="30:36" ht="18">
      <c r="AD949" s="93"/>
      <c r="AE949" s="214"/>
      <c r="AF949" s="93"/>
      <c r="AG949" s="93"/>
      <c r="AH949" s="93"/>
      <c r="AI949" s="93"/>
      <c r="AJ949" s="93"/>
    </row>
    <row r="950" spans="30:36" ht="18">
      <c r="AD950" s="93"/>
      <c r="AE950" s="214"/>
      <c r="AF950" s="93"/>
      <c r="AG950" s="93"/>
      <c r="AH950" s="93"/>
      <c r="AI950" s="93"/>
      <c r="AJ950" s="93"/>
    </row>
    <row r="951" spans="30:36" ht="18">
      <c r="AD951" s="93"/>
      <c r="AE951" s="214"/>
      <c r="AF951" s="93"/>
      <c r="AG951" s="93"/>
      <c r="AH951" s="93"/>
      <c r="AI951" s="93"/>
      <c r="AJ951" s="93"/>
    </row>
    <row r="952" spans="30:36" ht="18">
      <c r="AD952" s="93"/>
      <c r="AE952" s="214"/>
      <c r="AF952" s="93"/>
      <c r="AG952" s="93"/>
      <c r="AH952" s="93"/>
      <c r="AI952" s="93"/>
      <c r="AJ952" s="93"/>
    </row>
    <row r="953" spans="30:36" ht="18">
      <c r="AD953" s="93"/>
      <c r="AE953" s="214"/>
      <c r="AF953" s="93"/>
      <c r="AG953" s="93"/>
      <c r="AH953" s="93"/>
      <c r="AI953" s="93"/>
      <c r="AJ953" s="93"/>
    </row>
    <row r="954" spans="30:36" ht="18">
      <c r="AD954" s="93"/>
      <c r="AE954" s="214"/>
      <c r="AF954" s="93"/>
      <c r="AG954" s="93"/>
      <c r="AH954" s="93"/>
      <c r="AI954" s="93"/>
      <c r="AJ954" s="93"/>
    </row>
    <row r="955" spans="30:36" ht="18">
      <c r="AD955" s="93"/>
      <c r="AE955" s="214"/>
      <c r="AF955" s="93"/>
      <c r="AG955" s="93"/>
      <c r="AH955" s="93"/>
      <c r="AI955" s="93"/>
      <c r="AJ955" s="93"/>
    </row>
    <row r="956" spans="30:36" ht="18">
      <c r="AD956" s="93"/>
      <c r="AE956" s="214"/>
      <c r="AF956" s="93"/>
      <c r="AG956" s="93"/>
      <c r="AH956" s="93"/>
      <c r="AI956" s="93"/>
      <c r="AJ956" s="93"/>
    </row>
    <row r="957" spans="30:36" ht="18">
      <c r="AD957" s="93"/>
      <c r="AE957" s="214"/>
      <c r="AF957" s="93"/>
      <c r="AG957" s="93"/>
      <c r="AH957" s="93"/>
      <c r="AI957" s="93"/>
      <c r="AJ957" s="93"/>
    </row>
    <row r="958" spans="30:36" ht="18">
      <c r="AD958" s="93"/>
      <c r="AE958" s="214"/>
      <c r="AF958" s="93"/>
      <c r="AG958" s="93"/>
      <c r="AH958" s="93"/>
      <c r="AI958" s="93"/>
      <c r="AJ958" s="93"/>
    </row>
    <row r="959" spans="30:36" ht="18">
      <c r="AD959" s="93"/>
      <c r="AE959" s="214"/>
      <c r="AF959" s="93"/>
      <c r="AG959" s="93"/>
      <c r="AH959" s="93"/>
      <c r="AI959" s="93"/>
      <c r="AJ959" s="93"/>
    </row>
    <row r="960" spans="30:36" ht="18">
      <c r="AD960" s="93"/>
      <c r="AE960" s="214"/>
      <c r="AF960" s="93"/>
      <c r="AG960" s="93"/>
      <c r="AH960" s="93"/>
      <c r="AI960" s="93"/>
      <c r="AJ960" s="93"/>
    </row>
    <row r="961" spans="30:36" ht="18">
      <c r="AD961" s="93"/>
      <c r="AE961" s="214"/>
      <c r="AF961" s="93"/>
      <c r="AG961" s="93"/>
      <c r="AH961" s="93"/>
      <c r="AI961" s="93"/>
      <c r="AJ961" s="93"/>
    </row>
    <row r="962" spans="30:36" ht="18">
      <c r="AD962" s="93"/>
      <c r="AE962" s="214"/>
      <c r="AF962" s="93"/>
      <c r="AG962" s="93"/>
      <c r="AH962" s="93"/>
      <c r="AI962" s="93"/>
      <c r="AJ962" s="93"/>
    </row>
    <row r="963" spans="30:36" ht="18">
      <c r="AD963" s="93"/>
      <c r="AE963" s="214"/>
      <c r="AF963" s="93"/>
      <c r="AG963" s="93"/>
      <c r="AH963" s="93"/>
      <c r="AI963" s="93"/>
      <c r="AJ963" s="93"/>
    </row>
    <row r="964" spans="30:36" ht="18">
      <c r="AD964" s="93"/>
      <c r="AE964" s="214"/>
      <c r="AF964" s="93"/>
      <c r="AG964" s="93"/>
      <c r="AH964" s="93"/>
      <c r="AI964" s="93"/>
      <c r="AJ964" s="93"/>
    </row>
    <row r="965" spans="30:36" ht="18">
      <c r="AD965" s="93"/>
      <c r="AE965" s="214"/>
      <c r="AF965" s="93"/>
      <c r="AG965" s="93"/>
      <c r="AH965" s="93"/>
      <c r="AI965" s="93"/>
      <c r="AJ965" s="93"/>
    </row>
    <row r="966" spans="30:36" ht="18">
      <c r="AD966" s="93"/>
      <c r="AE966" s="214"/>
      <c r="AF966" s="93"/>
      <c r="AG966" s="93"/>
      <c r="AH966" s="93"/>
      <c r="AI966" s="93"/>
      <c r="AJ966" s="93"/>
    </row>
    <row r="967" spans="30:36" ht="18">
      <c r="AD967" s="93"/>
      <c r="AE967" s="214"/>
      <c r="AF967" s="93"/>
      <c r="AG967" s="93"/>
      <c r="AH967" s="93"/>
      <c r="AI967" s="93"/>
      <c r="AJ967" s="93"/>
    </row>
    <row r="968" spans="30:36" ht="18">
      <c r="AD968" s="93"/>
      <c r="AE968" s="214"/>
      <c r="AF968" s="93"/>
      <c r="AG968" s="93"/>
      <c r="AH968" s="93"/>
      <c r="AI968" s="93"/>
      <c r="AJ968" s="93"/>
    </row>
    <row r="969" spans="30:36" ht="18">
      <c r="AD969" s="93"/>
      <c r="AE969" s="214"/>
      <c r="AF969" s="93"/>
      <c r="AG969" s="93"/>
      <c r="AH969" s="93"/>
      <c r="AI969" s="93"/>
      <c r="AJ969" s="93"/>
    </row>
    <row r="970" spans="30:36" ht="18">
      <c r="AD970" s="93"/>
      <c r="AE970" s="214"/>
      <c r="AF970" s="93"/>
      <c r="AG970" s="93"/>
      <c r="AH970" s="93"/>
      <c r="AI970" s="93"/>
      <c r="AJ970" s="93"/>
    </row>
    <row r="971" spans="30:36" ht="18">
      <c r="AD971" s="93"/>
      <c r="AE971" s="214"/>
      <c r="AF971" s="93"/>
      <c r="AG971" s="93"/>
      <c r="AH971" s="93"/>
      <c r="AI971" s="93"/>
      <c r="AJ971" s="93"/>
    </row>
    <row r="972" spans="30:36" ht="18">
      <c r="AD972" s="93"/>
      <c r="AE972" s="214"/>
      <c r="AF972" s="93"/>
      <c r="AG972" s="93"/>
      <c r="AH972" s="93"/>
      <c r="AI972" s="93"/>
      <c r="AJ972" s="93"/>
    </row>
    <row r="973" spans="30:36" ht="18">
      <c r="AD973" s="93"/>
      <c r="AE973" s="214"/>
      <c r="AF973" s="93"/>
      <c r="AG973" s="93"/>
      <c r="AH973" s="93"/>
      <c r="AI973" s="93"/>
      <c r="AJ973" s="93"/>
    </row>
    <row r="974" spans="30:36" ht="18">
      <c r="AD974" s="93"/>
      <c r="AE974" s="214"/>
      <c r="AF974" s="93"/>
      <c r="AG974" s="93"/>
      <c r="AH974" s="93"/>
      <c r="AI974" s="93"/>
      <c r="AJ974" s="93"/>
    </row>
    <row r="975" spans="30:36" ht="18">
      <c r="AD975" s="93"/>
      <c r="AE975" s="214"/>
      <c r="AF975" s="93"/>
      <c r="AG975" s="93"/>
      <c r="AH975" s="93"/>
      <c r="AI975" s="93"/>
      <c r="AJ975" s="93"/>
    </row>
    <row r="976" spans="30:36" ht="18">
      <c r="AD976" s="93"/>
      <c r="AE976" s="214"/>
      <c r="AF976" s="93"/>
      <c r="AG976" s="93"/>
      <c r="AH976" s="93"/>
      <c r="AI976" s="93"/>
      <c r="AJ976" s="93"/>
    </row>
    <row r="977" spans="30:36" ht="18">
      <c r="AD977" s="93"/>
      <c r="AE977" s="214"/>
      <c r="AF977" s="93"/>
      <c r="AG977" s="93"/>
      <c r="AH977" s="93"/>
      <c r="AI977" s="93"/>
      <c r="AJ977" s="93"/>
    </row>
    <row r="978" spans="30:36" ht="18">
      <c r="AD978" s="93"/>
      <c r="AE978" s="214"/>
      <c r="AF978" s="93"/>
      <c r="AG978" s="93"/>
      <c r="AH978" s="93"/>
      <c r="AI978" s="93"/>
      <c r="AJ978" s="93"/>
    </row>
    <row r="979" spans="30:36" ht="18">
      <c r="AD979" s="93"/>
      <c r="AE979" s="214"/>
      <c r="AF979" s="93"/>
      <c r="AG979" s="93"/>
      <c r="AH979" s="93"/>
      <c r="AI979" s="93"/>
      <c r="AJ979" s="93"/>
    </row>
    <row r="980" spans="30:36" ht="18">
      <c r="AD980" s="93"/>
      <c r="AE980" s="214"/>
      <c r="AF980" s="93"/>
      <c r="AG980" s="93"/>
      <c r="AH980" s="93"/>
      <c r="AI980" s="93"/>
      <c r="AJ980" s="93"/>
    </row>
    <row r="981" spans="30:36" ht="18">
      <c r="AD981" s="93"/>
      <c r="AE981" s="214"/>
      <c r="AF981" s="93"/>
      <c r="AG981" s="93"/>
      <c r="AH981" s="93"/>
      <c r="AI981" s="93"/>
      <c r="AJ981" s="93"/>
    </row>
    <row r="982" spans="30:36" ht="18">
      <c r="AD982" s="93"/>
      <c r="AE982" s="214"/>
      <c r="AF982" s="93"/>
      <c r="AG982" s="93"/>
      <c r="AH982" s="93"/>
      <c r="AI982" s="93"/>
      <c r="AJ982" s="93"/>
    </row>
    <row r="983" spans="30:36" ht="18">
      <c r="AD983" s="93"/>
      <c r="AE983" s="214"/>
      <c r="AF983" s="93"/>
      <c r="AG983" s="93"/>
      <c r="AH983" s="93"/>
      <c r="AI983" s="93"/>
      <c r="AJ983" s="93"/>
    </row>
    <row r="984" spans="30:36" ht="18">
      <c r="AD984" s="93"/>
      <c r="AE984" s="214"/>
      <c r="AF984" s="93"/>
      <c r="AG984" s="93"/>
      <c r="AH984" s="93"/>
      <c r="AI984" s="93"/>
      <c r="AJ984" s="93"/>
    </row>
    <row r="985" spans="30:36" ht="18">
      <c r="AD985" s="93"/>
      <c r="AE985" s="214"/>
      <c r="AF985" s="93"/>
      <c r="AG985" s="93"/>
      <c r="AH985" s="93"/>
      <c r="AI985" s="93"/>
      <c r="AJ985" s="93"/>
    </row>
    <row r="986" spans="30:36" ht="18">
      <c r="AD986" s="93"/>
      <c r="AE986" s="214"/>
      <c r="AF986" s="93"/>
      <c r="AG986" s="93"/>
      <c r="AH986" s="93"/>
      <c r="AI986" s="93"/>
      <c r="AJ986" s="93"/>
    </row>
    <row r="987" spans="30:36" ht="18">
      <c r="AD987" s="93"/>
      <c r="AE987" s="214"/>
      <c r="AF987" s="93"/>
      <c r="AG987" s="93"/>
      <c r="AH987" s="93"/>
      <c r="AI987" s="93"/>
      <c r="AJ987" s="93"/>
    </row>
    <row r="988" spans="30:36" ht="18">
      <c r="AD988" s="93"/>
      <c r="AE988" s="214"/>
      <c r="AF988" s="93"/>
      <c r="AG988" s="93"/>
      <c r="AH988" s="93"/>
      <c r="AI988" s="93"/>
      <c r="AJ988" s="93"/>
    </row>
    <row r="989" spans="30:36" ht="18">
      <c r="AD989" s="93"/>
      <c r="AE989" s="214"/>
      <c r="AF989" s="93"/>
      <c r="AG989" s="93"/>
      <c r="AH989" s="93"/>
      <c r="AI989" s="93"/>
      <c r="AJ989" s="93"/>
    </row>
    <row r="990" spans="30:36" ht="18">
      <c r="AD990" s="93"/>
      <c r="AE990" s="214"/>
      <c r="AF990" s="93"/>
      <c r="AG990" s="93"/>
      <c r="AH990" s="93"/>
      <c r="AI990" s="93"/>
      <c r="AJ990" s="93"/>
    </row>
    <row r="991" spans="30:36" ht="18">
      <c r="AD991" s="93"/>
      <c r="AE991" s="214"/>
      <c r="AF991" s="93"/>
      <c r="AG991" s="93"/>
      <c r="AH991" s="93"/>
      <c r="AI991" s="93"/>
      <c r="AJ991" s="93"/>
    </row>
    <row r="992" spans="30:36" ht="18">
      <c r="AD992" s="93"/>
      <c r="AE992" s="214"/>
      <c r="AF992" s="93"/>
      <c r="AG992" s="93"/>
      <c r="AH992" s="93"/>
      <c r="AI992" s="93"/>
      <c r="AJ992" s="93"/>
    </row>
    <row r="993" spans="30:36" ht="18">
      <c r="AD993" s="93"/>
      <c r="AE993" s="214"/>
      <c r="AF993" s="93"/>
      <c r="AG993" s="93"/>
      <c r="AH993" s="93"/>
      <c r="AI993" s="93"/>
      <c r="AJ993" s="93"/>
    </row>
    <row r="994" spans="30:36" ht="18">
      <c r="AD994" s="93"/>
      <c r="AE994" s="215"/>
      <c r="AF994" s="93"/>
      <c r="AG994" s="93"/>
      <c r="AH994" s="93"/>
      <c r="AI994" s="93"/>
      <c r="AJ994" s="93"/>
    </row>
    <row r="995" spans="30:36" ht="18">
      <c r="AD995" s="93"/>
      <c r="AE995" s="214"/>
      <c r="AF995" s="93"/>
      <c r="AG995" s="93"/>
      <c r="AH995" s="93"/>
      <c r="AI995" s="93"/>
      <c r="AJ995" s="93"/>
    </row>
    <row r="996" spans="30:36" ht="18">
      <c r="AD996" s="93"/>
      <c r="AE996" s="214"/>
      <c r="AF996" s="93"/>
      <c r="AG996" s="93"/>
      <c r="AH996" s="93"/>
      <c r="AI996" s="93"/>
      <c r="AJ996" s="93"/>
    </row>
    <row r="997" spans="30:36" ht="18">
      <c r="AD997" s="93"/>
      <c r="AE997" s="214"/>
      <c r="AF997" s="94"/>
      <c r="AG997" s="93"/>
      <c r="AH997" s="93"/>
      <c r="AI997" s="93"/>
      <c r="AJ997" s="93"/>
    </row>
    <row r="998" spans="30:36" ht="18">
      <c r="AD998" s="93"/>
      <c r="AE998" s="214"/>
      <c r="AF998" s="94"/>
      <c r="AG998" s="93"/>
      <c r="AH998" s="93"/>
      <c r="AI998" s="93"/>
      <c r="AJ998" s="93"/>
    </row>
    <row r="999" spans="30:36" ht="18">
      <c r="AD999" s="93"/>
      <c r="AE999" s="214"/>
      <c r="AF999" s="94"/>
      <c r="AG999" s="93"/>
      <c r="AH999" s="93"/>
      <c r="AI999" s="93"/>
      <c r="AJ999" s="93"/>
    </row>
    <row r="1000" spans="30:36" ht="18">
      <c r="AD1000" s="93"/>
      <c r="AE1000" s="214"/>
      <c r="AF1000" s="94"/>
      <c r="AG1000" s="93"/>
      <c r="AH1000" s="93"/>
      <c r="AI1000" s="93"/>
      <c r="AJ1000" s="93"/>
    </row>
    <row r="1001" spans="30:36" ht="18">
      <c r="AD1001" s="93"/>
      <c r="AE1001" s="214"/>
      <c r="AF1001" s="94"/>
      <c r="AG1001" s="93"/>
      <c r="AH1001" s="93"/>
      <c r="AI1001" s="93"/>
      <c r="AJ1001" s="93"/>
    </row>
    <row r="1002" spans="30:36" ht="18">
      <c r="AD1002" s="93"/>
      <c r="AE1002" s="214"/>
      <c r="AF1002" s="94"/>
      <c r="AG1002" s="93"/>
      <c r="AH1002" s="93"/>
      <c r="AI1002" s="93"/>
      <c r="AJ1002" s="93"/>
    </row>
    <row r="1003" spans="30:36" ht="18">
      <c r="AD1003" s="93"/>
      <c r="AE1003" s="214"/>
      <c r="AF1003" s="94"/>
      <c r="AG1003" s="93"/>
      <c r="AH1003" s="93"/>
      <c r="AI1003" s="93"/>
      <c r="AJ1003" s="93"/>
    </row>
    <row r="1004" spans="30:36" ht="18">
      <c r="AD1004" s="93"/>
      <c r="AE1004" s="214"/>
      <c r="AF1004" s="94"/>
      <c r="AG1004" s="93"/>
      <c r="AH1004" s="93"/>
      <c r="AI1004" s="93"/>
      <c r="AJ1004" s="93"/>
    </row>
    <row r="1005" spans="30:36" ht="18">
      <c r="AD1005" s="93"/>
      <c r="AE1005" s="214"/>
      <c r="AF1005" s="94"/>
      <c r="AG1005" s="93"/>
      <c r="AH1005" s="93"/>
      <c r="AI1005" s="93"/>
      <c r="AJ1005" s="93"/>
    </row>
    <row r="1006" spans="30:36" ht="18">
      <c r="AD1006" s="93"/>
      <c r="AE1006" s="214"/>
      <c r="AF1006" s="94"/>
      <c r="AG1006" s="93"/>
      <c r="AH1006" s="93"/>
      <c r="AI1006" s="93"/>
      <c r="AJ1006" s="93"/>
    </row>
    <row r="1007" spans="30:36" ht="18">
      <c r="AD1007" s="93"/>
      <c r="AE1007" s="214"/>
      <c r="AF1007" s="94"/>
      <c r="AG1007" s="93"/>
      <c r="AH1007" s="93"/>
      <c r="AI1007" s="93"/>
      <c r="AJ1007" s="93"/>
    </row>
    <row r="1008" spans="30:36" ht="18">
      <c r="AD1008" s="93"/>
      <c r="AE1008" s="214"/>
      <c r="AF1008" s="94"/>
      <c r="AG1008" s="93"/>
      <c r="AH1008" s="93"/>
      <c r="AI1008" s="93"/>
      <c r="AJ1008" s="93"/>
    </row>
    <row r="1009" spans="30:36" ht="18">
      <c r="AD1009" s="93"/>
      <c r="AE1009" s="214"/>
      <c r="AF1009" s="94"/>
      <c r="AG1009" s="93"/>
      <c r="AH1009" s="93"/>
      <c r="AI1009" s="93"/>
      <c r="AJ1009" s="93"/>
    </row>
    <row r="1010" spans="30:36" ht="18">
      <c r="AD1010" s="93"/>
      <c r="AE1010" s="214"/>
      <c r="AF1010" s="94"/>
      <c r="AG1010" s="93"/>
      <c r="AH1010" s="93"/>
      <c r="AI1010" s="93"/>
      <c r="AJ1010" s="93"/>
    </row>
    <row r="1011" spans="30:36" ht="18">
      <c r="AD1011" s="93"/>
      <c r="AE1011" s="214"/>
      <c r="AF1011" s="94"/>
      <c r="AG1011" s="93"/>
      <c r="AH1011" s="93"/>
      <c r="AI1011" s="93"/>
      <c r="AJ1011" s="93"/>
    </row>
    <row r="1012" spans="30:36" ht="18">
      <c r="AD1012" s="93"/>
      <c r="AE1012" s="214"/>
      <c r="AF1012" s="94"/>
      <c r="AG1012" s="93"/>
      <c r="AH1012" s="93"/>
      <c r="AI1012" s="93"/>
      <c r="AJ1012" s="93"/>
    </row>
    <row r="1013" spans="30:36" ht="18">
      <c r="AD1013" s="93"/>
      <c r="AE1013" s="214"/>
      <c r="AF1013" s="94"/>
      <c r="AG1013" s="93"/>
      <c r="AH1013" s="93"/>
      <c r="AI1013" s="93"/>
      <c r="AJ1013" s="93"/>
    </row>
    <row r="1014" spans="30:36" ht="18">
      <c r="AD1014" s="93"/>
      <c r="AE1014" s="214"/>
      <c r="AF1014" s="94"/>
      <c r="AG1014" s="93"/>
      <c r="AH1014" s="93"/>
      <c r="AI1014" s="93"/>
      <c r="AJ1014" s="93"/>
    </row>
    <row r="1015" spans="30:36" ht="18">
      <c r="AD1015" s="93"/>
      <c r="AE1015" s="215"/>
      <c r="AF1015" s="93"/>
      <c r="AG1015" s="93"/>
      <c r="AH1015" s="93"/>
      <c r="AI1015" s="93"/>
      <c r="AJ1015" s="93"/>
    </row>
    <row r="1016" spans="30:36" ht="18">
      <c r="AD1016" s="93"/>
      <c r="AE1016" s="214"/>
      <c r="AF1016" s="93"/>
      <c r="AG1016" s="93"/>
      <c r="AH1016" s="93"/>
      <c r="AI1016" s="93"/>
      <c r="AJ1016" s="93"/>
    </row>
    <row r="1017" spans="30:36" ht="18">
      <c r="AD1017" s="93"/>
      <c r="AE1017" s="214"/>
      <c r="AF1017" s="93"/>
      <c r="AG1017" s="93"/>
      <c r="AH1017" s="93"/>
      <c r="AI1017" s="93"/>
      <c r="AJ1017" s="93"/>
    </row>
    <row r="1018" spans="30:36" ht="18">
      <c r="AD1018" s="93"/>
      <c r="AE1018" s="214"/>
      <c r="AF1018" s="93"/>
      <c r="AG1018" s="93"/>
      <c r="AH1018" s="93"/>
      <c r="AI1018" s="93"/>
      <c r="AJ1018" s="93"/>
    </row>
    <row r="1019" spans="30:36" ht="18">
      <c r="AD1019" s="93"/>
      <c r="AE1019" s="214"/>
      <c r="AF1019" s="93"/>
      <c r="AG1019" s="93"/>
      <c r="AH1019" s="93"/>
      <c r="AI1019" s="93"/>
      <c r="AJ1019" s="93"/>
    </row>
    <row r="1020" spans="30:36" ht="18">
      <c r="AD1020" s="93"/>
      <c r="AE1020" s="214"/>
      <c r="AF1020" s="93"/>
      <c r="AG1020" s="93"/>
      <c r="AH1020" s="93"/>
      <c r="AI1020" s="93"/>
      <c r="AJ1020" s="93"/>
    </row>
    <row r="1021" spans="30:36" ht="18">
      <c r="AD1021" s="93"/>
      <c r="AE1021" s="214"/>
      <c r="AF1021" s="93"/>
      <c r="AG1021" s="93"/>
      <c r="AH1021" s="93"/>
      <c r="AI1021" s="93"/>
      <c r="AJ1021" s="93"/>
    </row>
    <row r="1022" spans="30:36" ht="18">
      <c r="AD1022" s="93"/>
      <c r="AE1022" s="214"/>
      <c r="AF1022" s="93"/>
      <c r="AG1022" s="93"/>
      <c r="AH1022" s="93"/>
      <c r="AI1022" s="93"/>
      <c r="AJ1022" s="93"/>
    </row>
    <row r="1023" spans="30:36" ht="18">
      <c r="AD1023" s="93"/>
      <c r="AE1023" s="214"/>
      <c r="AF1023" s="93"/>
      <c r="AG1023" s="93"/>
      <c r="AH1023" s="93"/>
      <c r="AI1023" s="93"/>
      <c r="AJ1023" s="93"/>
    </row>
    <row r="1024" spans="30:36" ht="18">
      <c r="AD1024" s="93"/>
      <c r="AE1024" s="214"/>
      <c r="AF1024" s="93"/>
      <c r="AG1024" s="93"/>
      <c r="AH1024" s="93"/>
      <c r="AI1024" s="93"/>
      <c r="AJ1024" s="93"/>
    </row>
    <row r="1025" spans="30:36" ht="18">
      <c r="AD1025" s="93"/>
      <c r="AE1025" s="214"/>
      <c r="AF1025" s="93"/>
      <c r="AG1025" s="93"/>
      <c r="AH1025" s="93"/>
      <c r="AI1025" s="93"/>
      <c r="AJ1025" s="93"/>
    </row>
    <row r="1026" spans="30:36" ht="18">
      <c r="AD1026" s="93"/>
      <c r="AE1026" s="214"/>
      <c r="AF1026" s="93"/>
      <c r="AG1026" s="93"/>
      <c r="AH1026" s="93"/>
      <c r="AI1026" s="93"/>
      <c r="AJ1026" s="93"/>
    </row>
    <row r="1027" spans="30:36" ht="18">
      <c r="AD1027" s="93"/>
      <c r="AE1027" s="214"/>
      <c r="AF1027" s="93"/>
      <c r="AG1027" s="93"/>
      <c r="AH1027" s="93"/>
      <c r="AI1027" s="93"/>
      <c r="AJ1027" s="93"/>
    </row>
    <row r="1028" spans="30:36" ht="18">
      <c r="AD1028" s="93"/>
      <c r="AE1028" s="214"/>
      <c r="AF1028" s="93"/>
      <c r="AG1028" s="93"/>
      <c r="AH1028" s="93"/>
      <c r="AI1028" s="93"/>
      <c r="AJ1028" s="93"/>
    </row>
    <row r="1029" spans="30:36" ht="18">
      <c r="AD1029" s="93"/>
      <c r="AE1029" s="214"/>
      <c r="AF1029" s="93"/>
      <c r="AG1029" s="93"/>
      <c r="AH1029" s="93"/>
      <c r="AI1029" s="93"/>
      <c r="AJ1029" s="93"/>
    </row>
    <row r="1030" spans="30:36" ht="18">
      <c r="AD1030" s="93"/>
      <c r="AE1030" s="214"/>
      <c r="AF1030" s="93"/>
      <c r="AG1030" s="93"/>
      <c r="AH1030" s="93"/>
      <c r="AI1030" s="93"/>
      <c r="AJ1030" s="93"/>
    </row>
    <row r="1031" spans="30:36" ht="18">
      <c r="AD1031" s="93"/>
      <c r="AE1031" s="214"/>
      <c r="AF1031" s="93"/>
      <c r="AG1031" s="93"/>
      <c r="AH1031" s="93"/>
      <c r="AI1031" s="93"/>
      <c r="AJ1031" s="93"/>
    </row>
    <row r="1032" spans="30:36" ht="18">
      <c r="AD1032" s="93"/>
      <c r="AE1032" s="214"/>
      <c r="AF1032" s="93"/>
      <c r="AG1032" s="93"/>
      <c r="AH1032" s="93"/>
      <c r="AI1032" s="93"/>
      <c r="AJ1032" s="93"/>
    </row>
    <row r="1033" spans="30:36" ht="18">
      <c r="AD1033" s="93"/>
      <c r="AE1033" s="214"/>
      <c r="AF1033" s="93"/>
      <c r="AG1033" s="93"/>
      <c r="AH1033" s="93"/>
      <c r="AI1033" s="93"/>
      <c r="AJ1033" s="93"/>
    </row>
    <row r="1034" spans="30:36" ht="18">
      <c r="AD1034" s="93"/>
      <c r="AE1034" s="215"/>
      <c r="AF1034" s="93"/>
      <c r="AG1034" s="93"/>
      <c r="AH1034" s="93"/>
      <c r="AI1034" s="93"/>
      <c r="AJ1034" s="93"/>
    </row>
    <row r="1035" spans="30:36" ht="18">
      <c r="AD1035" s="93"/>
      <c r="AE1035" s="214"/>
      <c r="AF1035" s="93"/>
      <c r="AG1035" s="93"/>
      <c r="AH1035" s="93"/>
      <c r="AI1035" s="93"/>
      <c r="AJ1035" s="93"/>
    </row>
    <row r="1036" spans="30:36" ht="18">
      <c r="AD1036" s="93"/>
      <c r="AE1036" s="214"/>
      <c r="AF1036" s="93"/>
      <c r="AG1036" s="93"/>
      <c r="AH1036" s="93"/>
      <c r="AI1036" s="93"/>
      <c r="AJ1036" s="93"/>
    </row>
    <row r="1037" spans="30:36" ht="18">
      <c r="AD1037" s="93"/>
      <c r="AE1037" s="215"/>
      <c r="AF1037" s="93"/>
      <c r="AG1037" s="93"/>
      <c r="AH1037" s="93"/>
      <c r="AI1037" s="93"/>
      <c r="AJ1037" s="93"/>
    </row>
    <row r="1038" spans="30:36" ht="18">
      <c r="AD1038" s="93"/>
      <c r="AE1038" s="215"/>
      <c r="AF1038" s="93"/>
      <c r="AG1038" s="93"/>
      <c r="AH1038" s="93"/>
      <c r="AI1038" s="93"/>
      <c r="AJ1038" s="93"/>
    </row>
    <row r="1039" spans="30:36" ht="18">
      <c r="AD1039" s="93"/>
      <c r="AE1039" s="214"/>
      <c r="AF1039" s="93"/>
      <c r="AG1039" s="93"/>
      <c r="AH1039" s="93"/>
      <c r="AI1039" s="93"/>
      <c r="AJ1039" s="93"/>
    </row>
    <row r="1040" spans="30:36" ht="18">
      <c r="AD1040" s="93"/>
      <c r="AE1040" s="214"/>
      <c r="AF1040" s="93"/>
      <c r="AG1040" s="93"/>
      <c r="AH1040" s="93"/>
      <c r="AI1040" s="93"/>
      <c r="AJ1040" s="93"/>
    </row>
    <row r="1041" spans="30:36" ht="18">
      <c r="AD1041" s="93"/>
      <c r="AE1041" s="214"/>
      <c r="AF1041" s="93"/>
      <c r="AG1041" s="93"/>
      <c r="AH1041" s="93"/>
      <c r="AI1041" s="93"/>
      <c r="AJ1041" s="93"/>
    </row>
    <row r="1042" spans="30:36" ht="18">
      <c r="AD1042" s="93"/>
      <c r="AE1042" s="215"/>
      <c r="AF1042" s="93"/>
      <c r="AG1042" s="93"/>
      <c r="AH1042" s="93"/>
      <c r="AI1042" s="93"/>
      <c r="AJ1042" s="93"/>
    </row>
    <row r="1043" spans="30:36" ht="18">
      <c r="AD1043" s="93"/>
      <c r="AE1043" s="214"/>
      <c r="AF1043" s="93"/>
      <c r="AG1043" s="93"/>
      <c r="AH1043" s="93"/>
      <c r="AI1043" s="93"/>
      <c r="AJ1043" s="93"/>
    </row>
    <row r="1044" spans="30:36" ht="18">
      <c r="AD1044" s="93"/>
      <c r="AE1044" s="214"/>
      <c r="AF1044" s="93"/>
      <c r="AG1044" s="93"/>
      <c r="AH1044" s="93"/>
      <c r="AI1044" s="93"/>
      <c r="AJ1044" s="93"/>
    </row>
    <row r="1045" spans="30:36" ht="18">
      <c r="AD1045" s="93"/>
      <c r="AE1045" s="214"/>
      <c r="AF1045" s="93"/>
      <c r="AG1045" s="93"/>
      <c r="AH1045" s="93"/>
      <c r="AI1045" s="93"/>
      <c r="AJ1045" s="93"/>
    </row>
    <row r="1046" spans="30:36" ht="18">
      <c r="AD1046" s="93"/>
      <c r="AE1046" s="214"/>
      <c r="AF1046" s="93"/>
      <c r="AG1046" s="93"/>
      <c r="AH1046" s="93"/>
      <c r="AI1046" s="93"/>
      <c r="AJ1046" s="93"/>
    </row>
    <row r="1047" spans="30:36" ht="18">
      <c r="AD1047" s="93"/>
      <c r="AE1047" s="214"/>
      <c r="AF1047" s="93"/>
      <c r="AG1047" s="93"/>
      <c r="AH1047" s="93"/>
      <c r="AI1047" s="93"/>
      <c r="AJ1047" s="93"/>
    </row>
    <row r="1048" spans="30:36" ht="18">
      <c r="AD1048" s="93"/>
      <c r="AE1048" s="214"/>
      <c r="AF1048" s="93"/>
      <c r="AG1048" s="93"/>
      <c r="AH1048" s="93"/>
      <c r="AI1048" s="93"/>
      <c r="AJ1048" s="93"/>
    </row>
    <row r="1049" spans="30:36" ht="18">
      <c r="AD1049" s="93"/>
      <c r="AE1049" s="215"/>
      <c r="AF1049" s="93"/>
      <c r="AG1049" s="93"/>
      <c r="AH1049" s="93"/>
      <c r="AI1049" s="93"/>
      <c r="AJ1049" s="93"/>
    </row>
    <row r="1050" spans="30:36" ht="18">
      <c r="AD1050" s="93"/>
      <c r="AE1050" s="215"/>
      <c r="AF1050" s="93"/>
      <c r="AG1050" s="93"/>
      <c r="AH1050" s="93"/>
      <c r="AI1050" s="93"/>
      <c r="AJ1050" s="93"/>
    </row>
    <row r="1051" spans="30:36" ht="18">
      <c r="AD1051" s="93"/>
      <c r="AE1051" s="214"/>
      <c r="AF1051" s="93"/>
      <c r="AG1051" s="93"/>
      <c r="AH1051" s="93"/>
      <c r="AI1051" s="93"/>
      <c r="AJ1051" s="93"/>
    </row>
    <row r="1052" spans="30:36" ht="18">
      <c r="AD1052" s="93"/>
      <c r="AE1052" s="214"/>
      <c r="AF1052" s="93"/>
      <c r="AG1052" s="93"/>
      <c r="AH1052" s="93"/>
      <c r="AI1052" s="93"/>
      <c r="AJ1052" s="93"/>
    </row>
    <row r="1053" spans="30:36" ht="18">
      <c r="AD1053" s="93"/>
      <c r="AE1053" s="214"/>
      <c r="AF1053" s="93"/>
      <c r="AG1053" s="93"/>
      <c r="AH1053" s="93"/>
      <c r="AI1053" s="93"/>
      <c r="AJ1053" s="93"/>
    </row>
    <row r="1054" spans="30:36" ht="18">
      <c r="AD1054" s="93"/>
      <c r="AE1054" s="215"/>
      <c r="AF1054" s="93"/>
      <c r="AG1054" s="93"/>
      <c r="AH1054" s="93"/>
      <c r="AI1054" s="93"/>
      <c r="AJ1054" s="93"/>
    </row>
    <row r="1055" spans="30:36" ht="18">
      <c r="AD1055" s="93"/>
      <c r="AE1055" s="215"/>
      <c r="AF1055" s="93"/>
      <c r="AG1055" s="93"/>
      <c r="AH1055" s="93"/>
      <c r="AI1055" s="93"/>
      <c r="AJ1055" s="93"/>
    </row>
    <row r="1056" spans="30:36" ht="18">
      <c r="AD1056" s="93"/>
      <c r="AE1056" s="214"/>
      <c r="AF1056" s="93"/>
      <c r="AG1056" s="93"/>
      <c r="AH1056" s="93"/>
      <c r="AI1056" s="93"/>
      <c r="AJ1056" s="93"/>
    </row>
    <row r="1057" spans="30:36" ht="18">
      <c r="AD1057" s="93"/>
      <c r="AE1057" s="214"/>
      <c r="AF1057" s="93"/>
      <c r="AG1057" s="93"/>
      <c r="AH1057" s="93"/>
      <c r="AI1057" s="93"/>
      <c r="AJ1057" s="93"/>
    </row>
    <row r="1058" spans="30:36" ht="18">
      <c r="AD1058" s="93"/>
      <c r="AE1058" s="214"/>
      <c r="AF1058" s="93"/>
      <c r="AG1058" s="93"/>
      <c r="AH1058" s="93"/>
      <c r="AI1058" s="93"/>
      <c r="AJ1058" s="93"/>
    </row>
    <row r="1059" spans="30:36" ht="18">
      <c r="AD1059" s="93"/>
      <c r="AE1059" s="214"/>
      <c r="AF1059" s="93"/>
      <c r="AG1059" s="93"/>
      <c r="AH1059" s="93"/>
      <c r="AI1059" s="93"/>
      <c r="AJ1059" s="93"/>
    </row>
    <row r="1060" spans="30:36" ht="18">
      <c r="AD1060" s="93"/>
      <c r="AE1060" s="215"/>
      <c r="AF1060" s="93"/>
      <c r="AG1060" s="93"/>
      <c r="AH1060" s="93"/>
      <c r="AI1060" s="93"/>
      <c r="AJ1060" s="93"/>
    </row>
    <row r="1061" spans="30:36" ht="18">
      <c r="AD1061" s="93"/>
      <c r="AE1061" s="215"/>
      <c r="AF1061" s="93"/>
      <c r="AG1061" s="93"/>
      <c r="AH1061" s="93"/>
      <c r="AI1061" s="93"/>
      <c r="AJ1061" s="93"/>
    </row>
    <row r="1062" spans="30:36" ht="18">
      <c r="AD1062" s="93"/>
      <c r="AE1062" s="214"/>
      <c r="AF1062" s="93"/>
      <c r="AG1062" s="93"/>
      <c r="AH1062" s="93"/>
      <c r="AI1062" s="93"/>
      <c r="AJ1062" s="93"/>
    </row>
    <row r="1063" spans="30:36" ht="18">
      <c r="AD1063" s="93"/>
      <c r="AE1063" s="214"/>
      <c r="AF1063" s="93"/>
      <c r="AG1063" s="93"/>
      <c r="AH1063" s="93"/>
      <c r="AI1063" s="93"/>
      <c r="AJ1063" s="93"/>
    </row>
    <row r="1064" spans="30:36" ht="18">
      <c r="AD1064" s="93"/>
      <c r="AE1064" s="214"/>
      <c r="AF1064" s="93"/>
      <c r="AG1064" s="93"/>
      <c r="AH1064" s="93"/>
      <c r="AI1064" s="93"/>
      <c r="AJ1064" s="93"/>
    </row>
    <row r="1065" spans="30:36" ht="18">
      <c r="AD1065" s="93"/>
      <c r="AE1065" s="214"/>
      <c r="AF1065" s="93"/>
      <c r="AG1065" s="93"/>
      <c r="AH1065" s="93"/>
      <c r="AI1065" s="93"/>
      <c r="AJ1065" s="93"/>
    </row>
    <row r="1066" spans="30:36" ht="18">
      <c r="AD1066" s="93"/>
      <c r="AE1066" s="214"/>
      <c r="AF1066" s="93"/>
      <c r="AG1066" s="93"/>
      <c r="AH1066" s="93"/>
      <c r="AI1066" s="93"/>
      <c r="AJ1066" s="93"/>
    </row>
    <row r="1067" spans="30:36" ht="18">
      <c r="AD1067" s="93"/>
      <c r="AE1067" s="214"/>
      <c r="AF1067" s="93"/>
      <c r="AG1067" s="93"/>
      <c r="AH1067" s="93"/>
      <c r="AI1067" s="93"/>
      <c r="AJ1067" s="93"/>
    </row>
    <row r="1068" spans="30:36" ht="18">
      <c r="AD1068" s="93"/>
      <c r="AE1068" s="214"/>
      <c r="AF1068" s="93"/>
      <c r="AG1068" s="93"/>
      <c r="AH1068" s="93"/>
      <c r="AI1068" s="93"/>
      <c r="AJ1068" s="93"/>
    </row>
    <row r="1069" spans="30:36" ht="18">
      <c r="AD1069" s="93"/>
      <c r="AE1069" s="214"/>
      <c r="AF1069" s="93"/>
      <c r="AG1069" s="93"/>
      <c r="AH1069" s="93"/>
      <c r="AI1069" s="93"/>
      <c r="AJ1069" s="93"/>
    </row>
    <row r="1070" spans="30:36" ht="18">
      <c r="AD1070" s="93"/>
      <c r="AE1070" s="214"/>
      <c r="AF1070" s="93"/>
      <c r="AG1070" s="93"/>
      <c r="AH1070" s="93"/>
      <c r="AI1070" s="93"/>
      <c r="AJ1070" s="93"/>
    </row>
    <row r="1071" spans="30:36" ht="18">
      <c r="AD1071" s="93"/>
      <c r="AE1071" s="214"/>
      <c r="AF1071" s="93"/>
      <c r="AG1071" s="93"/>
      <c r="AH1071" s="93"/>
      <c r="AI1071" s="93"/>
      <c r="AJ1071" s="93"/>
    </row>
    <row r="1072" spans="30:36" ht="18">
      <c r="AD1072" s="93"/>
      <c r="AE1072" s="214"/>
      <c r="AF1072" s="93"/>
      <c r="AG1072" s="93"/>
      <c r="AH1072" s="93"/>
      <c r="AI1072" s="93"/>
      <c r="AJ1072" s="93"/>
    </row>
    <row r="1073" spans="30:36" ht="18">
      <c r="AD1073" s="93"/>
      <c r="AE1073" s="214"/>
      <c r="AF1073" s="93"/>
      <c r="AG1073" s="93"/>
      <c r="AH1073" s="93"/>
      <c r="AI1073" s="93"/>
      <c r="AJ1073" s="93"/>
    </row>
    <row r="1074" spans="30:36" ht="18">
      <c r="AD1074" s="93"/>
      <c r="AE1074" s="214"/>
      <c r="AF1074" s="93"/>
      <c r="AG1074" s="93"/>
      <c r="AH1074" s="93"/>
      <c r="AI1074" s="93"/>
      <c r="AJ1074" s="93"/>
    </row>
    <row r="1075" spans="30:36" ht="18">
      <c r="AD1075" s="93"/>
      <c r="AE1075" s="214"/>
      <c r="AF1075" s="93"/>
      <c r="AG1075" s="93"/>
      <c r="AH1075" s="93"/>
      <c r="AI1075" s="93"/>
      <c r="AJ1075" s="93"/>
    </row>
    <row r="1076" spans="30:36" ht="18">
      <c r="AD1076" s="93"/>
      <c r="AE1076" s="214"/>
      <c r="AF1076" s="93"/>
      <c r="AG1076" s="93"/>
      <c r="AH1076" s="93"/>
      <c r="AI1076" s="93"/>
      <c r="AJ1076" s="93"/>
    </row>
    <row r="1077" spans="30:36" ht="18">
      <c r="AD1077" s="93"/>
      <c r="AE1077" s="214"/>
      <c r="AF1077" s="93"/>
      <c r="AG1077" s="93"/>
      <c r="AH1077" s="93"/>
      <c r="AI1077" s="93"/>
      <c r="AJ1077" s="93"/>
    </row>
    <row r="1078" spans="30:36" ht="18">
      <c r="AD1078" s="93"/>
      <c r="AE1078" s="214"/>
      <c r="AF1078" s="93"/>
      <c r="AG1078" s="93"/>
      <c r="AH1078" s="93"/>
      <c r="AI1078" s="93"/>
      <c r="AJ1078" s="93"/>
    </row>
    <row r="1079" spans="30:36" ht="18">
      <c r="AD1079" s="93"/>
      <c r="AE1079" s="214"/>
      <c r="AF1079" s="93"/>
      <c r="AG1079" s="93"/>
      <c r="AH1079" s="93"/>
      <c r="AI1079" s="93"/>
      <c r="AJ1079" s="93"/>
    </row>
    <row r="1080" spans="30:36" ht="18">
      <c r="AD1080" s="93"/>
      <c r="AE1080" s="214"/>
      <c r="AF1080" s="93"/>
      <c r="AG1080" s="93"/>
      <c r="AH1080" s="93"/>
      <c r="AI1080" s="93"/>
      <c r="AJ1080" s="93"/>
    </row>
    <row r="1081" spans="30:36" ht="18">
      <c r="AD1081" s="93"/>
      <c r="AE1081" s="215"/>
      <c r="AF1081" s="93"/>
      <c r="AG1081" s="93"/>
      <c r="AH1081" s="93"/>
      <c r="AI1081" s="93"/>
      <c r="AJ1081" s="93"/>
    </row>
    <row r="1082" spans="30:36" ht="18">
      <c r="AD1082" s="93"/>
      <c r="AE1082" s="214"/>
      <c r="AF1082" s="93"/>
      <c r="AG1082" s="93"/>
      <c r="AH1082" s="93"/>
      <c r="AI1082" s="93"/>
      <c r="AJ1082" s="93"/>
    </row>
    <row r="1083" spans="30:36" ht="18">
      <c r="AD1083" s="93"/>
      <c r="AE1083" s="214"/>
      <c r="AF1083" s="93"/>
      <c r="AG1083" s="93"/>
      <c r="AH1083" s="93"/>
      <c r="AI1083" s="93"/>
      <c r="AJ1083" s="93"/>
    </row>
    <row r="1084" spans="30:36" ht="18">
      <c r="AD1084" s="93"/>
      <c r="AE1084" s="214"/>
      <c r="AF1084" s="93"/>
      <c r="AG1084" s="93"/>
      <c r="AH1084" s="93"/>
      <c r="AI1084" s="93"/>
      <c r="AJ1084" s="93"/>
    </row>
    <row r="1085" spans="30:36" ht="18">
      <c r="AD1085" s="93"/>
      <c r="AE1085" s="214"/>
      <c r="AF1085" s="93"/>
      <c r="AG1085" s="93"/>
      <c r="AH1085" s="93"/>
      <c r="AI1085" s="93"/>
      <c r="AJ1085" s="93"/>
    </row>
    <row r="1086" spans="30:36" ht="18">
      <c r="AD1086" s="93"/>
      <c r="AE1086" s="214"/>
      <c r="AF1086" s="93"/>
      <c r="AG1086" s="93"/>
      <c r="AH1086" s="93"/>
      <c r="AI1086" s="93"/>
      <c r="AJ1086" s="93"/>
    </row>
    <row r="1087" spans="30:36" ht="18">
      <c r="AD1087" s="93"/>
      <c r="AE1087" s="214"/>
      <c r="AF1087" s="93"/>
      <c r="AG1087" s="93"/>
      <c r="AH1087" s="93"/>
      <c r="AI1087" s="93"/>
      <c r="AJ1087" s="93"/>
    </row>
    <row r="1088" spans="30:36" ht="18">
      <c r="AD1088" s="93"/>
      <c r="AE1088" s="214"/>
      <c r="AF1088" s="93"/>
      <c r="AG1088" s="93"/>
      <c r="AH1088" s="93"/>
      <c r="AI1088" s="93"/>
      <c r="AJ1088" s="93"/>
    </row>
    <row r="1089" spans="30:36" ht="18">
      <c r="AD1089" s="93"/>
      <c r="AE1089" s="214"/>
      <c r="AF1089" s="93"/>
      <c r="AG1089" s="93"/>
      <c r="AH1089" s="93"/>
      <c r="AI1089" s="93"/>
      <c r="AJ1089" s="93"/>
    </row>
    <row r="1090" spans="30:36" ht="18">
      <c r="AD1090" s="93"/>
      <c r="AE1090" s="214"/>
      <c r="AF1090" s="93"/>
      <c r="AG1090" s="93"/>
      <c r="AH1090" s="93"/>
      <c r="AI1090" s="93"/>
      <c r="AJ1090" s="93"/>
    </row>
    <row r="1091" spans="30:36" ht="18">
      <c r="AD1091" s="93"/>
      <c r="AE1091" s="214"/>
      <c r="AF1091" s="93"/>
      <c r="AG1091" s="93"/>
      <c r="AH1091" s="93"/>
      <c r="AI1091" s="93"/>
      <c r="AJ1091" s="93"/>
    </row>
    <row r="1092" spans="30:36" ht="18">
      <c r="AD1092" s="93"/>
      <c r="AE1092" s="214"/>
      <c r="AF1092" s="93"/>
      <c r="AG1092" s="93"/>
      <c r="AH1092" s="93"/>
      <c r="AI1092" s="93"/>
      <c r="AJ1092" s="93"/>
    </row>
    <row r="1093" spans="30:36" ht="18">
      <c r="AD1093" s="93"/>
      <c r="AE1093" s="214"/>
      <c r="AF1093" s="93"/>
      <c r="AG1093" s="93"/>
      <c r="AH1093" s="93"/>
      <c r="AI1093" s="93"/>
      <c r="AJ1093" s="93"/>
    </row>
    <row r="1094" spans="30:36" ht="18">
      <c r="AD1094" s="93"/>
      <c r="AE1094" s="214"/>
      <c r="AF1094" s="93"/>
      <c r="AG1094" s="93"/>
      <c r="AH1094" s="93"/>
      <c r="AI1094" s="93"/>
      <c r="AJ1094" s="93"/>
    </row>
    <row r="1095" spans="30:36" ht="18">
      <c r="AD1095" s="93"/>
      <c r="AE1095" s="214"/>
      <c r="AF1095" s="93"/>
      <c r="AG1095" s="93"/>
      <c r="AH1095" s="93"/>
      <c r="AI1095" s="93"/>
      <c r="AJ1095" s="93"/>
    </row>
    <row r="1096" spans="30:36" ht="18">
      <c r="AD1096" s="93"/>
      <c r="AE1096" s="214"/>
      <c r="AF1096" s="93"/>
      <c r="AG1096" s="93"/>
      <c r="AH1096" s="93"/>
      <c r="AI1096" s="93"/>
      <c r="AJ1096" s="93"/>
    </row>
    <row r="1097" spans="30:36" ht="18">
      <c r="AD1097" s="93"/>
      <c r="AE1097" s="214"/>
      <c r="AF1097" s="93"/>
      <c r="AG1097" s="93"/>
      <c r="AH1097" s="93"/>
      <c r="AI1097" s="93"/>
      <c r="AJ1097" s="93"/>
    </row>
    <row r="1098" spans="30:36" ht="18">
      <c r="AD1098" s="93"/>
      <c r="AE1098" s="214"/>
      <c r="AF1098" s="93"/>
      <c r="AG1098" s="93"/>
      <c r="AH1098" s="93"/>
      <c r="AI1098" s="93"/>
      <c r="AJ1098" s="93"/>
    </row>
    <row r="1099" spans="30:36" ht="18">
      <c r="AD1099" s="93"/>
      <c r="AE1099" s="214"/>
      <c r="AF1099" s="94"/>
      <c r="AG1099" s="93"/>
      <c r="AH1099" s="93"/>
      <c r="AI1099" s="93"/>
      <c r="AJ1099" s="93"/>
    </row>
    <row r="1100" spans="30:36" ht="18">
      <c r="AD1100" s="93"/>
      <c r="AE1100" s="214"/>
      <c r="AF1100" s="94"/>
      <c r="AG1100" s="93"/>
      <c r="AH1100" s="93"/>
      <c r="AI1100" s="93"/>
      <c r="AJ1100" s="93"/>
    </row>
    <row r="1101" spans="30:36" ht="18">
      <c r="AD1101" s="93"/>
      <c r="AE1101" s="214"/>
      <c r="AF1101" s="94"/>
      <c r="AG1101" s="93"/>
      <c r="AH1101" s="93"/>
      <c r="AI1101" s="93"/>
      <c r="AJ1101" s="93"/>
    </row>
    <row r="1102" spans="30:36" ht="18">
      <c r="AD1102" s="93"/>
      <c r="AE1102" s="214"/>
      <c r="AF1102" s="94"/>
      <c r="AG1102" s="93"/>
      <c r="AH1102" s="93"/>
      <c r="AI1102" s="93"/>
      <c r="AJ1102" s="93"/>
    </row>
    <row r="1103" spans="30:36" ht="18">
      <c r="AD1103" s="93"/>
      <c r="AE1103" s="214"/>
      <c r="AF1103" s="94"/>
      <c r="AG1103" s="93"/>
      <c r="AH1103" s="93"/>
      <c r="AI1103" s="93"/>
      <c r="AJ1103" s="93"/>
    </row>
    <row r="1104" spans="30:36" ht="18">
      <c r="AD1104" s="93"/>
      <c r="AE1104" s="214"/>
      <c r="AF1104" s="94"/>
      <c r="AG1104" s="93"/>
      <c r="AH1104" s="93"/>
      <c r="AI1104" s="93"/>
      <c r="AJ1104" s="93"/>
    </row>
    <row r="1105" spans="30:36" ht="18">
      <c r="AD1105" s="93"/>
      <c r="AE1105" s="214"/>
      <c r="AF1105" s="94"/>
      <c r="AG1105" s="93"/>
      <c r="AH1105" s="93"/>
      <c r="AI1105" s="93"/>
      <c r="AJ1105" s="93"/>
    </row>
    <row r="1106" spans="30:36" ht="18">
      <c r="AD1106" s="93"/>
      <c r="AE1106" s="214"/>
      <c r="AF1106" s="94"/>
      <c r="AG1106" s="93"/>
      <c r="AH1106" s="93"/>
      <c r="AI1106" s="93"/>
      <c r="AJ1106" s="93"/>
    </row>
    <row r="1107" spans="30:36" ht="18">
      <c r="AD1107" s="93"/>
      <c r="AE1107" s="214"/>
      <c r="AF1107" s="94"/>
      <c r="AG1107" s="93"/>
      <c r="AH1107" s="93"/>
      <c r="AI1107" s="93"/>
      <c r="AJ1107" s="93"/>
    </row>
    <row r="1108" spans="30:36" ht="18">
      <c r="AD1108" s="93"/>
      <c r="AE1108" s="214"/>
      <c r="AF1108" s="93"/>
      <c r="AG1108" s="93"/>
      <c r="AH1108" s="93"/>
      <c r="AI1108" s="93"/>
      <c r="AJ1108" s="93"/>
    </row>
    <row r="1109" spans="30:36" ht="18">
      <c r="AD1109" s="93"/>
      <c r="AE1109" s="214"/>
      <c r="AF1109" s="93"/>
      <c r="AG1109" s="93"/>
      <c r="AH1109" s="93"/>
      <c r="AI1109" s="93"/>
      <c r="AJ1109" s="93"/>
    </row>
    <row r="1110" spans="30:36" ht="18">
      <c r="AD1110" s="93"/>
      <c r="AE1110" s="214"/>
      <c r="AF1110" s="93"/>
      <c r="AG1110" s="93"/>
      <c r="AH1110" s="93"/>
      <c r="AI1110" s="93"/>
      <c r="AJ1110" s="93"/>
    </row>
    <row r="1111" spans="30:36" ht="18">
      <c r="AD1111" s="93"/>
      <c r="AE1111" s="214"/>
      <c r="AF1111" s="93"/>
      <c r="AG1111" s="93"/>
      <c r="AH1111" s="93"/>
      <c r="AI1111" s="93"/>
      <c r="AJ1111" s="93"/>
    </row>
    <row r="1112" spans="30:36" ht="18">
      <c r="AD1112" s="93"/>
      <c r="AE1112" s="214"/>
      <c r="AF1112" s="93"/>
      <c r="AG1112" s="93"/>
      <c r="AH1112" s="93"/>
      <c r="AI1112" s="93"/>
      <c r="AJ1112" s="93"/>
    </row>
    <row r="1113" spans="30:36" ht="18">
      <c r="AD1113" s="93"/>
      <c r="AE1113" s="214"/>
      <c r="AF1113" s="93"/>
      <c r="AG1113" s="93"/>
      <c r="AH1113" s="93"/>
      <c r="AI1113" s="93"/>
      <c r="AJ1113" s="93"/>
    </row>
    <row r="1114" spans="30:36" ht="18">
      <c r="AD1114" s="93"/>
      <c r="AE1114" s="214"/>
      <c r="AF1114" s="93"/>
      <c r="AG1114" s="93"/>
      <c r="AH1114" s="93"/>
      <c r="AI1114" s="93"/>
      <c r="AJ1114" s="93"/>
    </row>
    <row r="1115" spans="30:36" ht="18">
      <c r="AD1115" s="93"/>
      <c r="AE1115" s="215"/>
      <c r="AF1115" s="93"/>
      <c r="AG1115" s="93"/>
      <c r="AH1115" s="93"/>
      <c r="AI1115" s="93"/>
      <c r="AJ1115" s="93"/>
    </row>
    <row r="1116" spans="30:36" ht="18">
      <c r="AD1116" s="93"/>
      <c r="AE1116" s="215"/>
      <c r="AF1116" s="93"/>
      <c r="AG1116" s="93"/>
      <c r="AH1116" s="93"/>
      <c r="AI1116" s="93"/>
      <c r="AJ1116" s="93"/>
    </row>
    <row r="1117" spans="30:36" ht="18">
      <c r="AD1117" s="93"/>
      <c r="AE1117" s="214"/>
      <c r="AF1117" s="93"/>
      <c r="AG1117" s="93"/>
      <c r="AH1117" s="93"/>
      <c r="AI1117" s="93"/>
      <c r="AJ1117" s="93"/>
    </row>
    <row r="1118" spans="30:36" ht="18">
      <c r="AD1118" s="93"/>
      <c r="AE1118" s="214"/>
      <c r="AF1118" s="93"/>
      <c r="AG1118" s="93"/>
      <c r="AH1118" s="93"/>
      <c r="AI1118" s="93"/>
      <c r="AJ1118" s="93"/>
    </row>
    <row r="1119" spans="30:36" ht="18">
      <c r="AD1119" s="93"/>
      <c r="AE1119" s="214"/>
      <c r="AF1119" s="93"/>
      <c r="AG1119" s="93"/>
      <c r="AH1119" s="93"/>
      <c r="AI1119" s="93"/>
      <c r="AJ1119" s="93"/>
    </row>
    <row r="1120" spans="30:36" ht="18">
      <c r="AD1120" s="93"/>
      <c r="AE1120" s="214"/>
      <c r="AF1120" s="93"/>
      <c r="AG1120" s="93"/>
      <c r="AH1120" s="93"/>
      <c r="AI1120" s="93"/>
      <c r="AJ1120" s="93"/>
    </row>
    <row r="1121" spans="30:36" ht="18">
      <c r="AD1121" s="93"/>
      <c r="AE1121" s="214"/>
      <c r="AF1121" s="93"/>
      <c r="AG1121" s="93"/>
      <c r="AH1121" s="93"/>
      <c r="AI1121" s="93"/>
      <c r="AJ1121" s="93"/>
    </row>
    <row r="1122" spans="30:36" ht="18">
      <c r="AD1122" s="93"/>
      <c r="AE1122" s="214"/>
      <c r="AF1122" s="93"/>
      <c r="AG1122" s="93"/>
      <c r="AH1122" s="93"/>
      <c r="AI1122" s="93"/>
      <c r="AJ1122" s="93"/>
    </row>
    <row r="1123" spans="30:36" ht="18">
      <c r="AD1123" s="93"/>
      <c r="AE1123" s="214"/>
      <c r="AF1123" s="93"/>
      <c r="AG1123" s="93"/>
      <c r="AH1123" s="93"/>
      <c r="AI1123" s="93"/>
      <c r="AJ1123" s="93"/>
    </row>
    <row r="1124" spans="30:36" ht="18">
      <c r="AD1124" s="93"/>
      <c r="AE1124" s="214"/>
      <c r="AF1124" s="93"/>
      <c r="AG1124" s="93"/>
      <c r="AH1124" s="93"/>
      <c r="AI1124" s="93"/>
      <c r="AJ1124" s="93"/>
    </row>
    <row r="1125" spans="30:36" ht="18">
      <c r="AD1125" s="93"/>
      <c r="AE1125" s="214"/>
      <c r="AF1125" s="93"/>
      <c r="AG1125" s="93"/>
      <c r="AH1125" s="93"/>
      <c r="AI1125" s="93"/>
      <c r="AJ1125" s="93"/>
    </row>
    <row r="1126" spans="30:36" ht="18">
      <c r="AD1126" s="93"/>
      <c r="AE1126" s="214"/>
      <c r="AF1126" s="93"/>
      <c r="AG1126" s="93"/>
      <c r="AH1126" s="93"/>
      <c r="AI1126" s="93"/>
      <c r="AJ1126" s="93"/>
    </row>
    <row r="1127" spans="30:36" ht="18">
      <c r="AD1127" s="93"/>
      <c r="AE1127" s="214"/>
      <c r="AF1127" s="93"/>
      <c r="AG1127" s="93"/>
      <c r="AH1127" s="93"/>
      <c r="AI1127" s="93"/>
      <c r="AJ1127" s="93"/>
    </row>
    <row r="1128" spans="30:36" ht="18">
      <c r="AD1128" s="93"/>
      <c r="AE1128" s="214"/>
      <c r="AF1128" s="93"/>
      <c r="AG1128" s="93"/>
      <c r="AH1128" s="93"/>
      <c r="AI1128" s="93"/>
      <c r="AJ1128" s="93"/>
    </row>
    <row r="1129" spans="30:36" ht="18">
      <c r="AD1129" s="93"/>
      <c r="AE1129" s="214"/>
      <c r="AF1129" s="93"/>
      <c r="AG1129" s="93"/>
      <c r="AH1129" s="93"/>
      <c r="AI1129" s="93"/>
      <c r="AJ1129" s="93"/>
    </row>
    <row r="1130" spans="30:36" ht="18">
      <c r="AD1130" s="93"/>
      <c r="AE1130" s="214"/>
      <c r="AF1130" s="93"/>
      <c r="AG1130" s="93"/>
      <c r="AH1130" s="93"/>
      <c r="AI1130" s="93"/>
      <c r="AJ1130" s="93"/>
    </row>
    <row r="1131" spans="30:36" ht="18">
      <c r="AD1131" s="93"/>
      <c r="AE1131" s="214"/>
      <c r="AF1131" s="93"/>
      <c r="AG1131" s="93"/>
      <c r="AH1131" s="93"/>
      <c r="AI1131" s="93"/>
      <c r="AJ1131" s="93"/>
    </row>
    <row r="1132" spans="30:36" ht="18">
      <c r="AD1132" s="93"/>
      <c r="AE1132" s="214"/>
      <c r="AF1132" s="93"/>
      <c r="AG1132" s="93"/>
      <c r="AH1132" s="93"/>
      <c r="AI1132" s="93"/>
      <c r="AJ1132" s="93"/>
    </row>
    <row r="1133" spans="30:36" ht="18">
      <c r="AD1133" s="93"/>
      <c r="AE1133" s="214"/>
      <c r="AF1133" s="93"/>
      <c r="AG1133" s="93"/>
      <c r="AH1133" s="93"/>
      <c r="AI1133" s="93"/>
      <c r="AJ1133" s="93"/>
    </row>
    <row r="1134" spans="30:36" ht="18">
      <c r="AD1134" s="93"/>
      <c r="AE1134" s="214"/>
      <c r="AF1134" s="93"/>
      <c r="AG1134" s="93"/>
      <c r="AH1134" s="93"/>
      <c r="AI1134" s="93"/>
      <c r="AJ1134" s="93"/>
    </row>
    <row r="1135" spans="30:36" ht="18">
      <c r="AD1135" s="93"/>
      <c r="AE1135" s="214"/>
      <c r="AF1135" s="93"/>
      <c r="AG1135" s="93"/>
      <c r="AH1135" s="93"/>
      <c r="AI1135" s="93"/>
      <c r="AJ1135" s="93"/>
    </row>
    <row r="1136" spans="30:36" ht="18">
      <c r="AD1136" s="93"/>
      <c r="AE1136" s="214"/>
      <c r="AF1136" s="93"/>
      <c r="AG1136" s="93"/>
      <c r="AH1136" s="93"/>
      <c r="AI1136" s="93"/>
      <c r="AJ1136" s="93"/>
    </row>
    <row r="1137" spans="30:36" ht="18">
      <c r="AD1137" s="93"/>
      <c r="AE1137" s="214"/>
      <c r="AF1137" s="93"/>
      <c r="AG1137" s="93"/>
      <c r="AH1137" s="93"/>
      <c r="AI1137" s="93"/>
      <c r="AJ1137" s="93"/>
    </row>
    <row r="1138" spans="30:36" ht="18">
      <c r="AD1138" s="93"/>
      <c r="AE1138" s="214"/>
      <c r="AF1138" s="93"/>
      <c r="AG1138" s="93"/>
      <c r="AH1138" s="93"/>
      <c r="AI1138" s="93"/>
      <c r="AJ1138" s="93"/>
    </row>
    <row r="1139" spans="30:36" ht="18">
      <c r="AD1139" s="93"/>
      <c r="AE1139" s="214"/>
      <c r="AF1139" s="93"/>
      <c r="AG1139" s="93"/>
      <c r="AH1139" s="93"/>
      <c r="AI1139" s="93"/>
      <c r="AJ1139" s="93"/>
    </row>
    <row r="1140" spans="30:36" ht="18">
      <c r="AD1140" s="93"/>
      <c r="AE1140" s="214"/>
      <c r="AF1140" s="93"/>
      <c r="AG1140" s="93"/>
      <c r="AH1140" s="93"/>
      <c r="AI1140" s="93"/>
      <c r="AJ1140" s="93"/>
    </row>
    <row r="1141" spans="30:36" ht="18">
      <c r="AD1141" s="93"/>
      <c r="AE1141" s="214"/>
      <c r="AF1141" s="93"/>
      <c r="AG1141" s="93"/>
      <c r="AH1141" s="93"/>
      <c r="AI1141" s="93"/>
      <c r="AJ1141" s="93"/>
    </row>
    <row r="1142" spans="30:36" ht="18">
      <c r="AD1142" s="93"/>
      <c r="AE1142" s="214"/>
      <c r="AF1142" s="93"/>
      <c r="AG1142" s="93"/>
      <c r="AH1142" s="93"/>
      <c r="AI1142" s="93"/>
      <c r="AJ1142" s="93"/>
    </row>
    <row r="1143" spans="30:36" ht="18">
      <c r="AD1143" s="93"/>
      <c r="AE1143" s="214"/>
      <c r="AF1143" s="93"/>
      <c r="AG1143" s="93"/>
      <c r="AH1143" s="93"/>
      <c r="AI1143" s="93"/>
      <c r="AJ1143" s="93"/>
    </row>
    <row r="1144" spans="30:36" ht="18">
      <c r="AD1144" s="93"/>
      <c r="AE1144" s="214"/>
      <c r="AF1144" s="93"/>
      <c r="AG1144" s="93"/>
      <c r="AH1144" s="93"/>
      <c r="AI1144" s="93"/>
      <c r="AJ1144" s="93"/>
    </row>
    <row r="1145" spans="30:36" ht="18">
      <c r="AD1145" s="93"/>
      <c r="AE1145" s="214"/>
      <c r="AF1145" s="93"/>
      <c r="AG1145" s="93"/>
      <c r="AH1145" s="93"/>
      <c r="AI1145" s="93"/>
      <c r="AJ1145" s="93"/>
    </row>
    <row r="1146" spans="30:36" ht="18">
      <c r="AD1146" s="93"/>
      <c r="AE1146" s="214"/>
      <c r="AF1146" s="93"/>
      <c r="AG1146" s="93"/>
      <c r="AH1146" s="93"/>
      <c r="AI1146" s="93"/>
      <c r="AJ1146" s="93"/>
    </row>
    <row r="1147" spans="30:36" ht="18">
      <c r="AD1147" s="93"/>
      <c r="AE1147" s="215"/>
      <c r="AF1147" s="93"/>
      <c r="AG1147" s="93"/>
      <c r="AH1147" s="93"/>
      <c r="AI1147" s="93"/>
      <c r="AJ1147" s="93"/>
    </row>
    <row r="1148" spans="30:36" ht="18">
      <c r="AD1148" s="93"/>
      <c r="AE1148" s="214"/>
      <c r="AF1148" s="93"/>
      <c r="AG1148" s="93"/>
      <c r="AH1148" s="93"/>
      <c r="AI1148" s="93"/>
      <c r="AJ1148" s="93"/>
    </row>
    <row r="1149" spans="30:36" ht="18">
      <c r="AD1149" s="93"/>
      <c r="AE1149" s="214"/>
      <c r="AF1149" s="93"/>
      <c r="AG1149" s="93"/>
      <c r="AH1149" s="93"/>
      <c r="AI1149" s="93"/>
      <c r="AJ1149" s="93"/>
    </row>
    <row r="1150" spans="30:36" ht="18">
      <c r="AD1150" s="93"/>
      <c r="AE1150" s="214"/>
      <c r="AF1150" s="93"/>
      <c r="AG1150" s="93"/>
      <c r="AH1150" s="93"/>
      <c r="AI1150" s="93"/>
      <c r="AJ1150" s="93"/>
    </row>
    <row r="1151" spans="30:36" ht="18">
      <c r="AD1151" s="93"/>
      <c r="AE1151" s="214"/>
      <c r="AF1151" s="93"/>
      <c r="AG1151" s="93"/>
      <c r="AH1151" s="93"/>
      <c r="AI1151" s="93"/>
      <c r="AJ1151" s="93"/>
    </row>
    <row r="1152" spans="30:36" ht="18">
      <c r="AD1152" s="93"/>
      <c r="AE1152" s="214"/>
      <c r="AF1152" s="93"/>
      <c r="AG1152" s="93"/>
      <c r="AH1152" s="93"/>
      <c r="AI1152" s="93"/>
      <c r="AJ1152" s="93"/>
    </row>
    <row r="1153" spans="30:36" ht="18">
      <c r="AD1153" s="93"/>
      <c r="AE1153" s="214"/>
      <c r="AF1153" s="93"/>
      <c r="AG1153" s="93"/>
      <c r="AH1153" s="93"/>
      <c r="AI1153" s="93"/>
      <c r="AJ1153" s="93"/>
    </row>
    <row r="1154" spans="30:36" ht="18">
      <c r="AD1154" s="93"/>
      <c r="AE1154" s="214"/>
      <c r="AF1154" s="93"/>
      <c r="AG1154" s="93"/>
      <c r="AH1154" s="93"/>
      <c r="AI1154" s="93"/>
      <c r="AJ1154" s="93"/>
    </row>
    <row r="1155" spans="30:36" ht="18">
      <c r="AD1155" s="93"/>
      <c r="AE1155" s="214"/>
      <c r="AF1155" s="93"/>
      <c r="AG1155" s="93"/>
      <c r="AH1155" s="93"/>
      <c r="AI1155" s="93"/>
      <c r="AJ1155" s="93"/>
    </row>
    <row r="1156" spans="30:36" ht="18">
      <c r="AD1156" s="93"/>
      <c r="AE1156" s="214"/>
      <c r="AF1156" s="93"/>
      <c r="AG1156" s="93"/>
      <c r="AH1156" s="93"/>
      <c r="AI1156" s="93"/>
      <c r="AJ1156" s="93"/>
    </row>
    <row r="1157" spans="30:36" ht="18">
      <c r="AD1157" s="93"/>
      <c r="AE1157" s="214"/>
      <c r="AF1157" s="93"/>
      <c r="AG1157" s="93"/>
      <c r="AH1157" s="93"/>
      <c r="AI1157" s="93"/>
      <c r="AJ1157" s="93"/>
    </row>
    <row r="1158" spans="30:36" ht="18">
      <c r="AD1158" s="93"/>
      <c r="AE1158" s="214"/>
      <c r="AF1158" s="93"/>
      <c r="AG1158" s="93"/>
      <c r="AH1158" s="93"/>
      <c r="AI1158" s="93"/>
      <c r="AJ1158" s="93"/>
    </row>
    <row r="1159" spans="30:36" ht="18">
      <c r="AD1159" s="93"/>
      <c r="AE1159" s="214"/>
      <c r="AF1159" s="93"/>
      <c r="AG1159" s="93"/>
      <c r="AH1159" s="93"/>
      <c r="AI1159" s="93"/>
      <c r="AJ1159" s="93"/>
    </row>
    <row r="1160" spans="30:36" ht="18">
      <c r="AD1160" s="93"/>
      <c r="AE1160" s="214"/>
      <c r="AF1160" s="93"/>
      <c r="AG1160" s="93"/>
      <c r="AH1160" s="93"/>
      <c r="AI1160" s="93"/>
      <c r="AJ1160" s="93"/>
    </row>
    <row r="1161" spans="30:36" ht="18">
      <c r="AD1161" s="93"/>
      <c r="AE1161" s="214"/>
      <c r="AF1161" s="93"/>
      <c r="AG1161" s="93"/>
      <c r="AH1161" s="93"/>
      <c r="AI1161" s="93"/>
      <c r="AJ1161" s="93"/>
    </row>
    <row r="1162" spans="30:36" ht="18">
      <c r="AD1162" s="93"/>
      <c r="AE1162" s="214"/>
      <c r="AF1162" s="93"/>
      <c r="AG1162" s="93"/>
      <c r="AH1162" s="93"/>
      <c r="AI1162" s="93"/>
      <c r="AJ1162" s="93"/>
    </row>
    <row r="1163" spans="30:36" ht="18">
      <c r="AD1163" s="93"/>
      <c r="AE1163" s="214"/>
      <c r="AF1163" s="93"/>
      <c r="AG1163" s="93"/>
      <c r="AH1163" s="93"/>
      <c r="AI1163" s="93"/>
      <c r="AJ1163" s="93"/>
    </row>
    <row r="1164" spans="30:36" ht="18">
      <c r="AD1164" s="93"/>
      <c r="AE1164" s="214"/>
      <c r="AF1164" s="93"/>
      <c r="AG1164" s="93"/>
      <c r="AH1164" s="93"/>
      <c r="AI1164" s="93"/>
      <c r="AJ1164" s="93"/>
    </row>
    <row r="1165" spans="30:36" ht="18">
      <c r="AD1165" s="93"/>
      <c r="AE1165" s="214"/>
      <c r="AF1165" s="94"/>
      <c r="AG1165" s="93"/>
      <c r="AH1165" s="93"/>
      <c r="AI1165" s="93"/>
      <c r="AJ1165" s="93"/>
    </row>
    <row r="1166" spans="30:36" ht="18">
      <c r="AD1166" s="93"/>
      <c r="AE1166" s="214"/>
      <c r="AF1166" s="94"/>
      <c r="AG1166" s="93"/>
      <c r="AH1166" s="93"/>
      <c r="AI1166" s="93"/>
      <c r="AJ1166" s="93"/>
    </row>
    <row r="1167" spans="30:36" ht="18">
      <c r="AD1167" s="93"/>
      <c r="AE1167" s="214"/>
      <c r="AF1167" s="94"/>
      <c r="AG1167" s="93"/>
      <c r="AH1167" s="93"/>
      <c r="AI1167" s="93"/>
      <c r="AJ1167" s="93"/>
    </row>
    <row r="1168" spans="30:36" ht="18">
      <c r="AD1168" s="93"/>
      <c r="AE1168" s="214"/>
      <c r="AF1168" s="94"/>
      <c r="AG1168" s="93"/>
      <c r="AH1168" s="93"/>
      <c r="AI1168" s="93"/>
      <c r="AJ1168" s="93"/>
    </row>
    <row r="1169" spans="30:36" ht="18">
      <c r="AD1169" s="93"/>
      <c r="AE1169" s="214"/>
      <c r="AF1169" s="94"/>
      <c r="AG1169" s="93"/>
      <c r="AH1169" s="93"/>
      <c r="AI1169" s="93"/>
      <c r="AJ1169" s="93"/>
    </row>
    <row r="1170" spans="30:36" ht="18">
      <c r="AD1170" s="93"/>
      <c r="AE1170" s="214"/>
      <c r="AF1170" s="94"/>
      <c r="AG1170" s="93"/>
      <c r="AH1170" s="93"/>
      <c r="AI1170" s="93"/>
      <c r="AJ1170" s="93"/>
    </row>
    <row r="1171" spans="30:36" ht="18">
      <c r="AD1171" s="93"/>
      <c r="AE1171" s="214"/>
      <c r="AF1171" s="94"/>
      <c r="AG1171" s="93"/>
      <c r="AH1171" s="93"/>
      <c r="AI1171" s="93"/>
      <c r="AJ1171" s="93"/>
    </row>
    <row r="1172" spans="30:36" ht="18">
      <c r="AD1172" s="93"/>
      <c r="AE1172" s="214"/>
      <c r="AF1172" s="94"/>
      <c r="AG1172" s="93"/>
      <c r="AH1172" s="93"/>
      <c r="AI1172" s="93"/>
      <c r="AJ1172" s="93"/>
    </row>
    <row r="1173" spans="30:36" ht="18">
      <c r="AD1173" s="93"/>
      <c r="AE1173" s="214"/>
      <c r="AF1173" s="94"/>
      <c r="AG1173" s="93"/>
      <c r="AH1173" s="93"/>
      <c r="AI1173" s="93"/>
      <c r="AJ1173" s="93"/>
    </row>
    <row r="1174" spans="30:36" ht="18">
      <c r="AD1174" s="93"/>
      <c r="AE1174" s="214"/>
      <c r="AF1174" s="94"/>
      <c r="AG1174" s="93"/>
      <c r="AH1174" s="93"/>
      <c r="AI1174" s="93"/>
      <c r="AJ1174" s="93"/>
    </row>
    <row r="1175" spans="30:36" ht="18">
      <c r="AD1175" s="93"/>
      <c r="AE1175" s="215"/>
      <c r="AF1175" s="93"/>
      <c r="AG1175" s="93"/>
      <c r="AH1175" s="93"/>
      <c r="AI1175" s="93"/>
      <c r="AJ1175" s="93"/>
    </row>
    <row r="1176" spans="30:36" ht="18">
      <c r="AD1176" s="93"/>
      <c r="AE1176" s="215"/>
      <c r="AF1176" s="93"/>
      <c r="AG1176" s="93"/>
      <c r="AH1176" s="93"/>
      <c r="AI1176" s="93"/>
      <c r="AJ1176" s="93"/>
    </row>
    <row r="1177" spans="30:36" ht="18">
      <c r="AD1177" s="93"/>
      <c r="AE1177" s="214"/>
      <c r="AF1177" s="93"/>
      <c r="AG1177" s="93"/>
      <c r="AH1177" s="93"/>
      <c r="AI1177" s="93"/>
      <c r="AJ1177" s="93"/>
    </row>
    <row r="1178" spans="30:36" ht="18">
      <c r="AD1178" s="93"/>
      <c r="AE1178" s="214"/>
      <c r="AF1178" s="93"/>
      <c r="AG1178" s="93"/>
      <c r="AH1178" s="93"/>
      <c r="AI1178" s="93"/>
      <c r="AJ1178" s="93"/>
    </row>
    <row r="1179" spans="30:36" ht="18">
      <c r="AD1179" s="93"/>
      <c r="AE1179" s="214"/>
      <c r="AF1179" s="93"/>
      <c r="AG1179" s="93"/>
      <c r="AH1179" s="93"/>
      <c r="AI1179" s="93"/>
      <c r="AJ1179" s="93"/>
    </row>
    <row r="1180" spans="30:36" ht="18">
      <c r="AD1180" s="93"/>
      <c r="AE1180" s="214"/>
      <c r="AF1180" s="93"/>
      <c r="AG1180" s="93"/>
      <c r="AH1180" s="93"/>
      <c r="AI1180" s="93"/>
      <c r="AJ1180" s="93"/>
    </row>
    <row r="1181" spans="30:36" ht="18">
      <c r="AD1181" s="93"/>
      <c r="AE1181" s="214"/>
      <c r="AF1181" s="93"/>
      <c r="AG1181" s="93"/>
      <c r="AH1181" s="93"/>
      <c r="AI1181" s="93"/>
      <c r="AJ1181" s="93"/>
    </row>
    <row r="1182" spans="30:36" ht="18">
      <c r="AD1182" s="93"/>
      <c r="AE1182" s="215"/>
      <c r="AF1182" s="93"/>
      <c r="AG1182" s="93"/>
      <c r="AH1182" s="93"/>
      <c r="AI1182" s="93"/>
      <c r="AJ1182" s="93"/>
    </row>
    <row r="1183" spans="30:36" ht="18">
      <c r="AD1183" s="93"/>
      <c r="AE1183" s="215"/>
      <c r="AF1183" s="93"/>
      <c r="AG1183" s="93"/>
      <c r="AH1183" s="93"/>
      <c r="AI1183" s="93"/>
      <c r="AJ1183" s="93"/>
    </row>
    <row r="1184" spans="30:36" ht="18">
      <c r="AD1184" s="93"/>
      <c r="AE1184" s="214"/>
      <c r="AF1184" s="93"/>
      <c r="AG1184" s="93"/>
      <c r="AH1184" s="93"/>
      <c r="AI1184" s="93"/>
      <c r="AJ1184" s="93"/>
    </row>
    <row r="1185" spans="30:36" ht="18">
      <c r="AD1185" s="93"/>
      <c r="AE1185" s="214"/>
      <c r="AF1185" s="93"/>
      <c r="AG1185" s="93"/>
      <c r="AH1185" s="93"/>
      <c r="AI1185" s="93"/>
      <c r="AJ1185" s="93"/>
    </row>
    <row r="1186" spans="30:36" ht="18">
      <c r="AD1186" s="93"/>
      <c r="AE1186" s="214"/>
      <c r="AF1186" s="93"/>
      <c r="AG1186" s="93"/>
      <c r="AH1186" s="93"/>
      <c r="AI1186" s="93"/>
      <c r="AJ1186" s="93"/>
    </row>
    <row r="1187" spans="30:36" ht="18">
      <c r="AD1187" s="93"/>
      <c r="AE1187" s="214"/>
      <c r="AF1187" s="93"/>
      <c r="AG1187" s="93"/>
      <c r="AH1187" s="93"/>
      <c r="AI1187" s="93"/>
      <c r="AJ1187" s="93"/>
    </row>
    <row r="1188" spans="30:36" ht="18">
      <c r="AD1188" s="93"/>
      <c r="AE1188" s="214"/>
      <c r="AF1188" s="93"/>
      <c r="AG1188" s="93"/>
      <c r="AH1188" s="93"/>
      <c r="AI1188" s="93"/>
      <c r="AJ1188" s="93"/>
    </row>
    <row r="1189" spans="30:36" ht="18">
      <c r="AD1189" s="93"/>
      <c r="AE1189" s="214"/>
      <c r="AF1189" s="93"/>
      <c r="AG1189" s="93"/>
      <c r="AH1189" s="93"/>
      <c r="AI1189" s="93"/>
      <c r="AJ1189" s="93"/>
    </row>
    <row r="1190" spans="30:36" ht="18">
      <c r="AD1190" s="93"/>
      <c r="AE1190" s="214"/>
      <c r="AF1190" s="93"/>
      <c r="AG1190" s="93"/>
      <c r="AH1190" s="93"/>
      <c r="AI1190" s="93"/>
      <c r="AJ1190" s="93"/>
    </row>
    <row r="1191" spans="30:36" ht="18">
      <c r="AD1191" s="93"/>
      <c r="AE1191" s="215"/>
      <c r="AF1191" s="93"/>
      <c r="AG1191" s="93"/>
      <c r="AH1191" s="93"/>
      <c r="AI1191" s="93"/>
      <c r="AJ1191" s="93"/>
    </row>
    <row r="1192" spans="30:36" ht="18">
      <c r="AD1192" s="93"/>
      <c r="AE1192" s="215"/>
      <c r="AF1192" s="93"/>
      <c r="AG1192" s="93"/>
      <c r="AH1192" s="93"/>
      <c r="AI1192" s="93"/>
      <c r="AJ1192" s="93"/>
    </row>
    <row r="1193" spans="30:36" ht="18">
      <c r="AD1193" s="93"/>
      <c r="AE1193" s="214"/>
      <c r="AF1193" s="93"/>
      <c r="AG1193" s="93"/>
      <c r="AH1193" s="93"/>
      <c r="AI1193" s="93"/>
      <c r="AJ1193" s="93"/>
    </row>
    <row r="1194" spans="30:36" ht="18">
      <c r="AD1194" s="93"/>
      <c r="AE1194" s="214"/>
      <c r="AF1194" s="93"/>
      <c r="AG1194" s="93"/>
      <c r="AH1194" s="93"/>
      <c r="AI1194" s="93"/>
      <c r="AJ1194" s="93"/>
    </row>
    <row r="1195" spans="30:36" ht="18">
      <c r="AD1195" s="93"/>
      <c r="AE1195" s="214"/>
      <c r="AF1195" s="93"/>
      <c r="AG1195" s="93"/>
      <c r="AH1195" s="93"/>
      <c r="AI1195" s="93"/>
      <c r="AJ1195" s="93"/>
    </row>
    <row r="1196" spans="30:36" ht="18">
      <c r="AD1196" s="93"/>
      <c r="AE1196" s="214"/>
      <c r="AF1196" s="93"/>
      <c r="AG1196" s="93"/>
      <c r="AH1196" s="93"/>
      <c r="AI1196" s="93"/>
      <c r="AJ1196" s="93"/>
    </row>
    <row r="1197" spans="30:36" ht="18">
      <c r="AD1197" s="93"/>
      <c r="AE1197" s="214"/>
      <c r="AF1197" s="93"/>
      <c r="AG1197" s="93"/>
      <c r="AH1197" s="93"/>
      <c r="AI1197" s="93"/>
      <c r="AJ1197" s="93"/>
    </row>
    <row r="1198" spans="30:36" ht="18">
      <c r="AD1198" s="93"/>
      <c r="AE1198" s="214"/>
      <c r="AF1198" s="93"/>
      <c r="AG1198" s="93"/>
      <c r="AH1198" s="93"/>
      <c r="AI1198" s="93"/>
      <c r="AJ1198" s="93"/>
    </row>
    <row r="1199" spans="30:36" ht="18">
      <c r="AD1199" s="93"/>
      <c r="AE1199" s="214"/>
      <c r="AF1199" s="93"/>
      <c r="AG1199" s="93"/>
      <c r="AH1199" s="93"/>
      <c r="AI1199" s="93"/>
      <c r="AJ1199" s="93"/>
    </row>
    <row r="1200" spans="30:36" ht="18">
      <c r="AD1200" s="93"/>
      <c r="AE1200" s="215"/>
      <c r="AF1200" s="93"/>
      <c r="AG1200" s="93"/>
      <c r="AH1200" s="93"/>
      <c r="AI1200" s="93"/>
      <c r="AJ1200" s="93"/>
    </row>
    <row r="1201" spans="30:36" ht="18">
      <c r="AD1201" s="93"/>
      <c r="AE1201" s="215"/>
      <c r="AF1201" s="93"/>
      <c r="AG1201" s="93"/>
      <c r="AH1201" s="93"/>
      <c r="AI1201" s="93"/>
      <c r="AJ1201" s="93"/>
    </row>
    <row r="1202" spans="30:36" ht="18">
      <c r="AD1202" s="93"/>
      <c r="AE1202" s="214"/>
      <c r="AF1202" s="93"/>
      <c r="AG1202" s="93"/>
      <c r="AH1202" s="93"/>
      <c r="AI1202" s="93"/>
      <c r="AJ1202" s="93"/>
    </row>
    <row r="1203" spans="30:36" ht="18">
      <c r="AD1203" s="93"/>
      <c r="AE1203" s="214"/>
      <c r="AF1203" s="93"/>
      <c r="AG1203" s="93"/>
      <c r="AH1203" s="93"/>
      <c r="AI1203" s="93"/>
      <c r="AJ1203" s="93"/>
    </row>
    <row r="1204" spans="30:36" ht="18">
      <c r="AD1204" s="93"/>
      <c r="AE1204" s="214"/>
      <c r="AF1204" s="93"/>
      <c r="AG1204" s="93"/>
      <c r="AH1204" s="93"/>
      <c r="AI1204" s="93"/>
      <c r="AJ1204" s="93"/>
    </row>
    <row r="1205" spans="30:36" ht="18">
      <c r="AD1205" s="93"/>
      <c r="AE1205" s="214"/>
      <c r="AF1205" s="93"/>
      <c r="AG1205" s="93"/>
      <c r="AH1205" s="93"/>
      <c r="AI1205" s="93"/>
      <c r="AJ1205" s="93"/>
    </row>
    <row r="1206" spans="30:36" ht="18">
      <c r="AD1206" s="93"/>
      <c r="AE1206" s="214"/>
      <c r="AF1206" s="93"/>
      <c r="AG1206" s="93"/>
      <c r="AH1206" s="93"/>
      <c r="AI1206" s="93"/>
      <c r="AJ1206" s="93"/>
    </row>
    <row r="1207" spans="30:36" ht="18">
      <c r="AD1207" s="93"/>
      <c r="AE1207" s="214"/>
      <c r="AF1207" s="93"/>
      <c r="AG1207" s="93"/>
      <c r="AH1207" s="93"/>
      <c r="AI1207" s="93"/>
      <c r="AJ1207" s="93"/>
    </row>
    <row r="1208" spans="30:36" ht="18">
      <c r="AD1208" s="93"/>
      <c r="AE1208" s="214"/>
      <c r="AF1208" s="93"/>
      <c r="AG1208" s="93"/>
      <c r="AH1208" s="93"/>
      <c r="AI1208" s="93"/>
      <c r="AJ1208" s="93"/>
    </row>
    <row r="1209" spans="30:36" ht="18">
      <c r="AD1209" s="93"/>
      <c r="AE1209" s="214"/>
      <c r="AF1209" s="93"/>
      <c r="AG1209" s="93"/>
      <c r="AH1209" s="93"/>
      <c r="AI1209" s="93"/>
      <c r="AJ1209" s="93"/>
    </row>
    <row r="1210" spans="30:36" ht="18">
      <c r="AD1210" s="93"/>
      <c r="AE1210" s="214"/>
      <c r="AF1210" s="93"/>
      <c r="AG1210" s="93"/>
      <c r="AH1210" s="93"/>
      <c r="AI1210" s="93"/>
      <c r="AJ1210" s="93"/>
    </row>
    <row r="1211" spans="30:36" ht="18">
      <c r="AD1211" s="93"/>
      <c r="AE1211" s="214"/>
      <c r="AF1211" s="93"/>
      <c r="AG1211" s="93"/>
      <c r="AH1211" s="93"/>
      <c r="AI1211" s="93"/>
      <c r="AJ1211" s="93"/>
    </row>
    <row r="1212" spans="30:36" ht="18">
      <c r="AD1212" s="93"/>
      <c r="AE1212" s="214"/>
      <c r="AF1212" s="93"/>
      <c r="AG1212" s="93"/>
      <c r="AH1212" s="93"/>
      <c r="AI1212" s="93"/>
      <c r="AJ1212" s="93"/>
    </row>
    <row r="1213" spans="30:36" ht="18">
      <c r="AD1213" s="93"/>
      <c r="AE1213" s="214"/>
      <c r="AF1213" s="93"/>
      <c r="AG1213" s="93"/>
      <c r="AH1213" s="93"/>
      <c r="AI1213" s="93"/>
      <c r="AJ1213" s="93"/>
    </row>
    <row r="1214" spans="30:36" ht="18">
      <c r="AD1214" s="93"/>
      <c r="AE1214" s="215"/>
      <c r="AF1214" s="93"/>
      <c r="AG1214" s="93"/>
      <c r="AH1214" s="93"/>
      <c r="AI1214" s="93"/>
      <c r="AJ1214" s="93"/>
    </row>
    <row r="1215" spans="30:36" ht="18">
      <c r="AD1215" s="93"/>
      <c r="AE1215" s="215"/>
      <c r="AF1215" s="93"/>
      <c r="AG1215" s="93"/>
      <c r="AH1215" s="93"/>
      <c r="AI1215" s="93"/>
      <c r="AJ1215" s="93"/>
    </row>
    <row r="1216" spans="30:36" ht="18">
      <c r="AD1216" s="93"/>
      <c r="AE1216" s="214"/>
      <c r="AF1216" s="93"/>
      <c r="AG1216" s="93"/>
      <c r="AH1216" s="93"/>
      <c r="AI1216" s="93"/>
      <c r="AJ1216" s="93"/>
    </row>
    <row r="1217" spans="30:36" ht="18">
      <c r="AD1217" s="93"/>
      <c r="AE1217" s="214"/>
      <c r="AF1217" s="93"/>
      <c r="AG1217" s="93"/>
      <c r="AH1217" s="93"/>
      <c r="AI1217" s="93"/>
      <c r="AJ1217" s="93"/>
    </row>
    <row r="1218" spans="30:36" ht="18">
      <c r="AD1218" s="93"/>
      <c r="AE1218" s="214"/>
      <c r="AF1218" s="93"/>
      <c r="AG1218" s="93"/>
      <c r="AH1218" s="93"/>
      <c r="AI1218" s="93"/>
      <c r="AJ1218" s="93"/>
    </row>
    <row r="1219" spans="30:36" ht="18">
      <c r="AD1219" s="93"/>
      <c r="AE1219" s="214"/>
      <c r="AF1219" s="93"/>
      <c r="AG1219" s="93"/>
      <c r="AH1219" s="93"/>
      <c r="AI1219" s="93"/>
      <c r="AJ1219" s="93"/>
    </row>
    <row r="1220" spans="30:36" ht="18">
      <c r="AD1220" s="93"/>
      <c r="AE1220" s="214"/>
      <c r="AF1220" s="93"/>
      <c r="AG1220" s="93"/>
      <c r="AH1220" s="93"/>
      <c r="AI1220" s="93"/>
      <c r="AJ1220" s="93"/>
    </row>
    <row r="1221" spans="30:36" ht="18">
      <c r="AD1221" s="93"/>
      <c r="AE1221" s="214"/>
      <c r="AF1221" s="93"/>
      <c r="AG1221" s="93"/>
      <c r="AH1221" s="93"/>
      <c r="AI1221" s="93"/>
      <c r="AJ1221" s="93"/>
    </row>
    <row r="1222" spans="30:36" ht="18">
      <c r="AD1222" s="93"/>
      <c r="AE1222" s="214"/>
      <c r="AF1222" s="93"/>
      <c r="AG1222" s="93"/>
      <c r="AH1222" s="93"/>
      <c r="AI1222" s="93"/>
      <c r="AJ1222" s="93"/>
    </row>
    <row r="1223" spans="30:36" ht="18">
      <c r="AD1223" s="93"/>
      <c r="AE1223" s="214"/>
      <c r="AF1223" s="93"/>
      <c r="AG1223" s="93"/>
      <c r="AH1223" s="93"/>
      <c r="AI1223" s="93"/>
      <c r="AJ1223" s="93"/>
    </row>
    <row r="1224" spans="30:36" ht="18">
      <c r="AD1224" s="93"/>
      <c r="AE1224" s="214"/>
      <c r="AF1224" s="93"/>
      <c r="AG1224" s="93"/>
      <c r="AH1224" s="93"/>
      <c r="AI1224" s="93"/>
      <c r="AJ1224" s="93"/>
    </row>
    <row r="1225" spans="30:36" ht="18">
      <c r="AD1225" s="93"/>
      <c r="AE1225" s="214"/>
      <c r="AF1225" s="93"/>
      <c r="AG1225" s="93"/>
      <c r="AH1225" s="93"/>
      <c r="AI1225" s="93"/>
      <c r="AJ1225" s="93"/>
    </row>
    <row r="1226" spans="30:36" ht="18">
      <c r="AD1226" s="93"/>
      <c r="AE1226" s="214"/>
      <c r="AF1226" s="93"/>
      <c r="AG1226" s="93"/>
      <c r="AH1226" s="93"/>
      <c r="AI1226" s="93"/>
      <c r="AJ1226" s="93"/>
    </row>
    <row r="1227" spans="30:36" ht="18">
      <c r="AD1227" s="93"/>
      <c r="AE1227" s="214"/>
      <c r="AF1227" s="93"/>
      <c r="AG1227" s="93"/>
      <c r="AH1227" s="93"/>
      <c r="AI1227" s="93"/>
      <c r="AJ1227" s="93"/>
    </row>
    <row r="1228" spans="30:36" ht="18">
      <c r="AD1228" s="93"/>
      <c r="AE1228" s="214"/>
      <c r="AF1228" s="93"/>
      <c r="AG1228" s="93"/>
      <c r="AH1228" s="93"/>
      <c r="AI1228" s="93"/>
      <c r="AJ1228" s="93"/>
    </row>
    <row r="1229" spans="30:36" ht="18">
      <c r="AD1229" s="93"/>
      <c r="AE1229" s="214"/>
      <c r="AF1229" s="93"/>
      <c r="AG1229" s="93"/>
      <c r="AH1229" s="93"/>
      <c r="AI1229" s="93"/>
      <c r="AJ1229" s="93"/>
    </row>
    <row r="1230" spans="30:36" ht="18">
      <c r="AD1230" s="93"/>
      <c r="AE1230" s="214"/>
      <c r="AF1230" s="93"/>
      <c r="AG1230" s="93"/>
      <c r="AH1230" s="93"/>
      <c r="AI1230" s="93"/>
      <c r="AJ1230" s="93"/>
    </row>
    <row r="1231" spans="30:36" ht="18">
      <c r="AD1231" s="93"/>
      <c r="AE1231" s="214"/>
      <c r="AF1231" s="93"/>
      <c r="AG1231" s="93"/>
      <c r="AH1231" s="93"/>
      <c r="AI1231" s="93"/>
      <c r="AJ1231" s="93"/>
    </row>
    <row r="1232" spans="30:36" ht="18">
      <c r="AD1232" s="93"/>
      <c r="AE1232" s="214"/>
      <c r="AF1232" s="93"/>
      <c r="AG1232" s="93"/>
      <c r="AH1232" s="93"/>
      <c r="AI1232" s="93"/>
      <c r="AJ1232" s="93"/>
    </row>
    <row r="1233" spans="30:36" ht="18">
      <c r="AD1233" s="93"/>
      <c r="AE1233" s="214"/>
      <c r="AF1233" s="93"/>
      <c r="AG1233" s="93"/>
      <c r="AH1233" s="93"/>
      <c r="AI1233" s="93"/>
      <c r="AJ1233" s="93"/>
    </row>
    <row r="1234" spans="30:36" ht="18">
      <c r="AD1234" s="93"/>
      <c r="AE1234" s="214"/>
      <c r="AF1234" s="93"/>
      <c r="AG1234" s="93"/>
      <c r="AH1234" s="93"/>
      <c r="AI1234" s="93"/>
      <c r="AJ1234" s="93"/>
    </row>
    <row r="1235" spans="30:36" ht="18">
      <c r="AD1235" s="93"/>
      <c r="AE1235" s="214"/>
      <c r="AF1235" s="93"/>
      <c r="AG1235" s="93"/>
      <c r="AH1235" s="93"/>
      <c r="AI1235" s="93"/>
      <c r="AJ1235" s="93"/>
    </row>
    <row r="1236" spans="30:36" ht="18">
      <c r="AD1236" s="93"/>
      <c r="AE1236" s="214"/>
      <c r="AF1236" s="93"/>
      <c r="AG1236" s="93"/>
      <c r="AH1236" s="93"/>
      <c r="AI1236" s="93"/>
      <c r="AJ1236" s="93"/>
    </row>
    <row r="1237" spans="30:36" ht="18">
      <c r="AD1237" s="93"/>
      <c r="AE1237" s="214"/>
      <c r="AF1237" s="93"/>
      <c r="AG1237" s="93"/>
      <c r="AH1237" s="93"/>
      <c r="AI1237" s="93"/>
      <c r="AJ1237" s="93"/>
    </row>
    <row r="1238" spans="30:36" ht="18">
      <c r="AD1238" s="93"/>
      <c r="AE1238" s="214"/>
      <c r="AF1238" s="93"/>
      <c r="AG1238" s="93"/>
      <c r="AH1238" s="93"/>
      <c r="AI1238" s="93"/>
      <c r="AJ1238" s="93"/>
    </row>
    <row r="1239" spans="30:36" ht="18">
      <c r="AD1239" s="93"/>
      <c r="AE1239" s="214"/>
      <c r="AF1239" s="93"/>
      <c r="AG1239" s="93"/>
      <c r="AH1239" s="93"/>
      <c r="AI1239" s="93"/>
      <c r="AJ1239" s="93"/>
    </row>
    <row r="1240" spans="30:36" ht="18">
      <c r="AD1240" s="93"/>
      <c r="AE1240" s="214"/>
      <c r="AF1240" s="93"/>
      <c r="AG1240" s="93"/>
      <c r="AH1240" s="93"/>
      <c r="AI1240" s="93"/>
      <c r="AJ1240" s="93"/>
    </row>
    <row r="1241" spans="30:36" ht="18">
      <c r="AD1241" s="93"/>
      <c r="AE1241" s="214"/>
      <c r="AF1241" s="93"/>
      <c r="AG1241" s="93"/>
      <c r="AH1241" s="93"/>
      <c r="AI1241" s="93"/>
      <c r="AJ1241" s="93"/>
    </row>
    <row r="1242" spans="30:36" ht="18">
      <c r="AD1242" s="93"/>
      <c r="AE1242" s="214"/>
      <c r="AF1242" s="93"/>
      <c r="AG1242" s="93"/>
      <c r="AH1242" s="93"/>
      <c r="AI1242" s="93"/>
      <c r="AJ1242" s="93"/>
    </row>
    <row r="1243" spans="30:36" ht="18">
      <c r="AD1243" s="93"/>
      <c r="AE1243" s="214"/>
      <c r="AF1243" s="93"/>
      <c r="AG1243" s="93"/>
      <c r="AH1243" s="93"/>
      <c r="AI1243" s="93"/>
      <c r="AJ1243" s="93"/>
    </row>
    <row r="1244" spans="30:36" ht="18">
      <c r="AD1244" s="93"/>
      <c r="AE1244" s="214"/>
      <c r="AF1244" s="93"/>
      <c r="AG1244" s="93"/>
      <c r="AH1244" s="93"/>
      <c r="AI1244" s="93"/>
      <c r="AJ1244" s="93"/>
    </row>
    <row r="1245" spans="30:36" ht="18">
      <c r="AD1245" s="93"/>
      <c r="AE1245" s="214"/>
      <c r="AF1245" s="93"/>
      <c r="AG1245" s="93"/>
      <c r="AH1245" s="93"/>
      <c r="AI1245" s="93"/>
      <c r="AJ1245" s="93"/>
    </row>
    <row r="1246" spans="30:36" ht="18">
      <c r="AD1246" s="93"/>
      <c r="AE1246" s="214"/>
      <c r="AF1246" s="93"/>
      <c r="AG1246" s="93"/>
      <c r="AH1246" s="93"/>
      <c r="AI1246" s="93"/>
      <c r="AJ1246" s="93"/>
    </row>
    <row r="1247" spans="30:36" ht="18">
      <c r="AD1247" s="93"/>
      <c r="AE1247" s="215"/>
      <c r="AF1247" s="93"/>
      <c r="AG1247" s="93"/>
      <c r="AH1247" s="93"/>
      <c r="AI1247" s="93"/>
      <c r="AJ1247" s="93"/>
    </row>
    <row r="1248" spans="30:36" ht="18">
      <c r="AD1248" s="93"/>
      <c r="AE1248" s="214"/>
      <c r="AF1248" s="93"/>
      <c r="AG1248" s="93"/>
      <c r="AH1248" s="93"/>
      <c r="AI1248" s="93"/>
      <c r="AJ1248" s="93"/>
    </row>
    <row r="1249" spans="30:36" ht="18">
      <c r="AD1249" s="93"/>
      <c r="AE1249" s="214"/>
      <c r="AF1249" s="93"/>
      <c r="AG1249" s="93"/>
      <c r="AH1249" s="93"/>
      <c r="AI1249" s="93"/>
      <c r="AJ1249" s="93"/>
    </row>
    <row r="1250" spans="30:36" ht="18">
      <c r="AD1250" s="93"/>
      <c r="AE1250" s="215"/>
      <c r="AF1250" s="93"/>
      <c r="AG1250" s="93"/>
      <c r="AH1250" s="93"/>
      <c r="AI1250" s="93"/>
      <c r="AJ1250" s="93"/>
    </row>
    <row r="1251" spans="30:36" ht="18">
      <c r="AD1251" s="93"/>
      <c r="AE1251" s="214"/>
      <c r="AF1251" s="93"/>
      <c r="AG1251" s="93"/>
      <c r="AH1251" s="93"/>
      <c r="AI1251" s="93"/>
      <c r="AJ1251" s="93"/>
    </row>
    <row r="1252" spans="30:36" ht="18">
      <c r="AD1252" s="93"/>
      <c r="AE1252" s="214"/>
      <c r="AF1252" s="93"/>
      <c r="AG1252" s="93"/>
      <c r="AH1252" s="93"/>
      <c r="AI1252" s="93"/>
      <c r="AJ1252" s="93"/>
    </row>
    <row r="1253" spans="30:36" ht="18">
      <c r="AD1253" s="93"/>
      <c r="AE1253" s="214"/>
      <c r="AF1253" s="93"/>
      <c r="AG1253" s="93"/>
      <c r="AH1253" s="93"/>
      <c r="AI1253" s="93"/>
      <c r="AJ1253" s="93"/>
    </row>
    <row r="1254" spans="30:36" ht="18">
      <c r="AD1254" s="93"/>
      <c r="AE1254" s="215"/>
      <c r="AF1254" s="93"/>
      <c r="AG1254" s="93"/>
      <c r="AH1254" s="93"/>
      <c r="AI1254" s="93"/>
      <c r="AJ1254" s="93"/>
    </row>
    <row r="1255" spans="30:36" ht="18">
      <c r="AD1255" s="93"/>
      <c r="AE1255" s="215"/>
      <c r="AF1255" s="93"/>
      <c r="AG1255" s="93"/>
      <c r="AH1255" s="93"/>
      <c r="AI1255" s="93"/>
      <c r="AJ1255" s="93"/>
    </row>
    <row r="1256" spans="30:36" ht="18">
      <c r="AD1256" s="93"/>
      <c r="AE1256" s="214"/>
      <c r="AF1256" s="93"/>
      <c r="AG1256" s="93"/>
      <c r="AH1256" s="93"/>
      <c r="AI1256" s="93"/>
      <c r="AJ1256" s="93"/>
    </row>
    <row r="1257" spans="30:36" ht="18">
      <c r="AD1257" s="93"/>
      <c r="AE1257" s="214"/>
      <c r="AF1257" s="93"/>
      <c r="AG1257" s="93"/>
      <c r="AH1257" s="93"/>
      <c r="AI1257" s="93"/>
      <c r="AJ1257" s="93"/>
    </row>
    <row r="1258" spans="30:36" ht="18">
      <c r="AD1258" s="93"/>
      <c r="AE1258" s="214"/>
      <c r="AF1258" s="93"/>
      <c r="AG1258" s="93"/>
      <c r="AH1258" s="93"/>
      <c r="AI1258" s="93"/>
      <c r="AJ1258" s="93"/>
    </row>
    <row r="1259" spans="30:36" ht="18">
      <c r="AD1259" s="93"/>
      <c r="AE1259" s="215"/>
      <c r="AF1259" s="93"/>
      <c r="AG1259" s="93"/>
      <c r="AH1259" s="93"/>
      <c r="AI1259" s="93"/>
      <c r="AJ1259" s="93"/>
    </row>
    <row r="1260" spans="30:36" ht="18">
      <c r="AD1260" s="93"/>
      <c r="AE1260" s="214"/>
      <c r="AF1260" s="93"/>
      <c r="AG1260" s="93"/>
      <c r="AH1260" s="93"/>
      <c r="AI1260" s="93"/>
      <c r="AJ1260" s="93"/>
    </row>
    <row r="1261" spans="30:36" ht="18">
      <c r="AD1261" s="93"/>
      <c r="AE1261" s="214"/>
      <c r="AF1261" s="93"/>
      <c r="AG1261" s="93"/>
      <c r="AH1261" s="93"/>
      <c r="AI1261" s="93"/>
      <c r="AJ1261" s="93"/>
    </row>
    <row r="1262" spans="30:36" ht="18">
      <c r="AD1262" s="93"/>
      <c r="AE1262" s="214"/>
      <c r="AF1262" s="93"/>
      <c r="AG1262" s="93"/>
      <c r="AH1262" s="93"/>
      <c r="AI1262" s="93"/>
      <c r="AJ1262" s="93"/>
    </row>
    <row r="1263" spans="30:36" ht="18">
      <c r="AD1263" s="93"/>
      <c r="AE1263" s="214"/>
      <c r="AF1263" s="93"/>
      <c r="AG1263" s="93"/>
      <c r="AH1263" s="93"/>
      <c r="AI1263" s="93"/>
      <c r="AJ1263" s="93"/>
    </row>
    <row r="1264" spans="30:36" ht="18">
      <c r="AD1264" s="93"/>
      <c r="AE1264" s="214"/>
      <c r="AF1264" s="93"/>
      <c r="AG1264" s="93"/>
      <c r="AH1264" s="93"/>
      <c r="AI1264" s="93"/>
      <c r="AJ1264" s="93"/>
    </row>
    <row r="1265" spans="30:36" ht="18">
      <c r="AD1265" s="93"/>
      <c r="AE1265" s="214"/>
      <c r="AF1265" s="93"/>
      <c r="AG1265" s="93"/>
      <c r="AH1265" s="93"/>
      <c r="AI1265" s="93"/>
      <c r="AJ1265" s="93"/>
    </row>
    <row r="1266" spans="30:36" ht="18">
      <c r="AD1266" s="93"/>
      <c r="AE1266" s="214"/>
      <c r="AF1266" s="93"/>
      <c r="AG1266" s="93"/>
      <c r="AH1266" s="93"/>
      <c r="AI1266" s="93"/>
      <c r="AJ1266" s="93"/>
    </row>
    <row r="1267" spans="30:36" ht="18">
      <c r="AD1267" s="93"/>
      <c r="AE1267" s="214"/>
      <c r="AF1267" s="93"/>
      <c r="AG1267" s="93"/>
      <c r="AH1267" s="93"/>
      <c r="AI1267" s="93"/>
      <c r="AJ1267" s="93"/>
    </row>
    <row r="1268" spans="30:36" ht="18">
      <c r="AD1268" s="93"/>
      <c r="AE1268" s="214"/>
      <c r="AF1268" s="93"/>
      <c r="AG1268" s="93"/>
      <c r="AH1268" s="93"/>
      <c r="AI1268" s="93"/>
      <c r="AJ1268" s="93"/>
    </row>
    <row r="1269" spans="30:36" ht="18">
      <c r="AD1269" s="93"/>
      <c r="AE1269" s="214"/>
      <c r="AF1269" s="93"/>
      <c r="AG1269" s="93"/>
      <c r="AH1269" s="93"/>
      <c r="AI1269" s="93"/>
      <c r="AJ1269" s="93"/>
    </row>
    <row r="1270" spans="30:36" ht="18">
      <c r="AD1270" s="93"/>
      <c r="AE1270" s="214"/>
      <c r="AF1270" s="93"/>
      <c r="AG1270" s="93"/>
      <c r="AH1270" s="93"/>
      <c r="AI1270" s="93"/>
      <c r="AJ1270" s="93"/>
    </row>
    <row r="1271" spans="30:36" ht="18">
      <c r="AD1271" s="93"/>
      <c r="AE1271" s="214"/>
      <c r="AF1271" s="93"/>
      <c r="AG1271" s="93"/>
      <c r="AH1271" s="93"/>
      <c r="AI1271" s="93"/>
      <c r="AJ1271" s="93"/>
    </row>
    <row r="1272" spans="30:36" ht="18">
      <c r="AD1272" s="93"/>
      <c r="AE1272" s="215"/>
      <c r="AF1272" s="93"/>
      <c r="AG1272" s="93"/>
      <c r="AH1272" s="93"/>
      <c r="AI1272" s="93"/>
      <c r="AJ1272" s="93"/>
    </row>
    <row r="1273" spans="30:36" ht="18">
      <c r="AD1273" s="93"/>
      <c r="AE1273" s="214"/>
      <c r="AF1273" s="93"/>
      <c r="AG1273" s="93"/>
      <c r="AH1273" s="93"/>
      <c r="AI1273" s="93"/>
      <c r="AJ1273" s="93"/>
    </row>
    <row r="1274" spans="30:36" ht="18">
      <c r="AD1274" s="93"/>
      <c r="AE1274" s="214"/>
      <c r="AF1274" s="93"/>
      <c r="AG1274" s="93"/>
      <c r="AH1274" s="93"/>
      <c r="AI1274" s="93"/>
      <c r="AJ1274" s="93"/>
    </row>
    <row r="1275" spans="30:36" ht="18">
      <c r="AD1275" s="93"/>
      <c r="AE1275" s="214"/>
      <c r="AF1275" s="93"/>
      <c r="AG1275" s="93"/>
      <c r="AH1275" s="93"/>
      <c r="AI1275" s="93"/>
      <c r="AJ1275" s="93"/>
    </row>
    <row r="1276" spans="30:36" ht="18">
      <c r="AD1276" s="93"/>
      <c r="AE1276" s="214"/>
      <c r="AF1276" s="93"/>
      <c r="AG1276" s="93"/>
      <c r="AH1276" s="93"/>
      <c r="AI1276" s="93"/>
      <c r="AJ1276" s="93"/>
    </row>
    <row r="1277" spans="30:36" ht="18">
      <c r="AD1277" s="93"/>
      <c r="AE1277" s="214"/>
      <c r="AF1277" s="93"/>
      <c r="AG1277" s="93"/>
      <c r="AH1277" s="93"/>
      <c r="AI1277" s="93"/>
      <c r="AJ1277" s="93"/>
    </row>
    <row r="1278" spans="30:36" ht="18">
      <c r="AD1278" s="93"/>
      <c r="AE1278" s="214"/>
      <c r="AF1278" s="93"/>
      <c r="AG1278" s="93"/>
      <c r="AH1278" s="93"/>
      <c r="AI1278" s="93"/>
      <c r="AJ1278" s="93"/>
    </row>
    <row r="1279" spans="30:36" ht="18">
      <c r="AD1279" s="93"/>
      <c r="AE1279" s="214"/>
      <c r="AF1279" s="93"/>
      <c r="AG1279" s="93"/>
      <c r="AH1279" s="93"/>
      <c r="AI1279" s="93"/>
      <c r="AJ1279" s="93"/>
    </row>
    <row r="1280" spans="30:36" ht="18">
      <c r="AD1280" s="93"/>
      <c r="AE1280" s="214"/>
      <c r="AF1280" s="93"/>
      <c r="AG1280" s="93"/>
      <c r="AH1280" s="93"/>
      <c r="AI1280" s="93"/>
      <c r="AJ1280" s="93"/>
    </row>
    <row r="1281" spans="30:36" ht="18">
      <c r="AD1281" s="93"/>
      <c r="AE1281" s="214"/>
      <c r="AF1281" s="93"/>
      <c r="AG1281" s="93"/>
      <c r="AH1281" s="93"/>
      <c r="AI1281" s="93"/>
      <c r="AJ1281" s="93"/>
    </row>
    <row r="1282" spans="30:36" ht="18">
      <c r="AD1282" s="93"/>
      <c r="AE1282" s="214"/>
      <c r="AF1282" s="93"/>
      <c r="AG1282" s="93"/>
      <c r="AH1282" s="93"/>
      <c r="AI1282" s="93"/>
      <c r="AJ1282" s="93"/>
    </row>
    <row r="1283" spans="30:36" ht="18">
      <c r="AD1283" s="93"/>
      <c r="AE1283" s="214"/>
      <c r="AF1283" s="93"/>
      <c r="AG1283" s="93"/>
      <c r="AH1283" s="93"/>
      <c r="AI1283" s="93"/>
      <c r="AJ1283" s="93"/>
    </row>
    <row r="1284" spans="30:36" ht="18">
      <c r="AD1284" s="93"/>
      <c r="AE1284" s="214"/>
      <c r="AF1284" s="93"/>
      <c r="AG1284" s="93"/>
      <c r="AH1284" s="93"/>
      <c r="AI1284" s="93"/>
      <c r="AJ1284" s="93"/>
    </row>
    <row r="1285" spans="30:36" ht="18">
      <c r="AD1285" s="93"/>
      <c r="AE1285" s="214"/>
      <c r="AF1285" s="93"/>
      <c r="AG1285" s="93"/>
      <c r="AH1285" s="93"/>
      <c r="AI1285" s="93"/>
      <c r="AJ1285" s="93"/>
    </row>
    <row r="1286" spans="30:36" ht="18">
      <c r="AD1286" s="93"/>
      <c r="AE1286" s="214"/>
      <c r="AF1286" s="93"/>
      <c r="AG1286" s="93"/>
      <c r="AH1286" s="93"/>
      <c r="AI1286" s="93"/>
      <c r="AJ1286" s="93"/>
    </row>
    <row r="1287" spans="30:36" ht="18">
      <c r="AD1287" s="93"/>
      <c r="AE1287" s="214"/>
      <c r="AF1287" s="93"/>
      <c r="AG1287" s="93"/>
      <c r="AH1287" s="93"/>
      <c r="AI1287" s="93"/>
      <c r="AJ1287" s="93"/>
    </row>
    <row r="1288" spans="30:36" ht="18">
      <c r="AD1288" s="93"/>
      <c r="AE1288" s="214"/>
      <c r="AF1288" s="93"/>
      <c r="AG1288" s="93"/>
      <c r="AH1288" s="93"/>
      <c r="AI1288" s="93"/>
      <c r="AJ1288" s="93"/>
    </row>
    <row r="1289" spans="30:36" ht="18">
      <c r="AD1289" s="93"/>
      <c r="AE1289" s="214"/>
      <c r="AF1289" s="93"/>
      <c r="AG1289" s="93"/>
      <c r="AH1289" s="93"/>
      <c r="AI1289" s="93"/>
      <c r="AJ1289" s="93"/>
    </row>
    <row r="1290" spans="30:36" ht="18">
      <c r="AD1290" s="93"/>
      <c r="AE1290" s="214"/>
      <c r="AF1290" s="93"/>
      <c r="AG1290" s="93"/>
      <c r="AH1290" s="93"/>
      <c r="AI1290" s="93"/>
      <c r="AJ1290" s="93"/>
    </row>
    <row r="1291" spans="30:36" ht="18">
      <c r="AD1291" s="93"/>
      <c r="AE1291" s="214"/>
      <c r="AF1291" s="93"/>
      <c r="AG1291" s="93"/>
      <c r="AH1291" s="93"/>
      <c r="AI1291" s="93"/>
      <c r="AJ1291" s="93"/>
    </row>
    <row r="1292" spans="30:36" ht="18">
      <c r="AD1292" s="93"/>
      <c r="AE1292" s="214"/>
      <c r="AF1292" s="93"/>
      <c r="AG1292" s="93"/>
      <c r="AH1292" s="93"/>
      <c r="AI1292" s="93"/>
      <c r="AJ1292" s="93"/>
    </row>
    <row r="1293" spans="30:36" ht="18">
      <c r="AD1293" s="93"/>
      <c r="AE1293" s="214"/>
      <c r="AF1293" s="93"/>
      <c r="AG1293" s="93"/>
      <c r="AH1293" s="93"/>
      <c r="AI1293" s="93"/>
      <c r="AJ1293" s="93"/>
    </row>
    <row r="1294" spans="30:36" ht="18">
      <c r="AD1294" s="93"/>
      <c r="AE1294" s="214"/>
      <c r="AF1294" s="93"/>
      <c r="AG1294" s="93"/>
      <c r="AH1294" s="93"/>
      <c r="AI1294" s="93"/>
      <c r="AJ1294" s="93"/>
    </row>
    <row r="1295" spans="30:36" ht="18">
      <c r="AD1295" s="93"/>
      <c r="AE1295" s="214"/>
      <c r="AF1295" s="93"/>
      <c r="AG1295" s="93"/>
      <c r="AH1295" s="93"/>
      <c r="AI1295" s="93"/>
      <c r="AJ1295" s="93"/>
    </row>
    <row r="1296" spans="30:36" ht="18">
      <c r="AD1296" s="93"/>
      <c r="AE1296" s="214"/>
      <c r="AF1296" s="93"/>
      <c r="AG1296" s="93"/>
      <c r="AH1296" s="93"/>
      <c r="AI1296" s="93"/>
      <c r="AJ1296" s="93"/>
    </row>
    <row r="1297" spans="30:36" ht="18">
      <c r="AD1297" s="93"/>
      <c r="AE1297" s="214"/>
      <c r="AF1297" s="93"/>
      <c r="AG1297" s="93"/>
      <c r="AH1297" s="93"/>
      <c r="AI1297" s="93"/>
      <c r="AJ1297" s="93"/>
    </row>
    <row r="1298" spans="30:36" ht="18">
      <c r="AD1298" s="93"/>
      <c r="AE1298" s="214"/>
      <c r="AF1298" s="93"/>
      <c r="AG1298" s="93"/>
      <c r="AH1298" s="93"/>
      <c r="AI1298" s="93"/>
      <c r="AJ1298" s="93"/>
    </row>
    <row r="1299" spans="30:36" ht="18">
      <c r="AD1299" s="93"/>
      <c r="AE1299" s="214"/>
      <c r="AF1299" s="93"/>
      <c r="AG1299" s="93"/>
      <c r="AH1299" s="93"/>
      <c r="AI1299" s="93"/>
      <c r="AJ1299" s="93"/>
    </row>
    <row r="1300" spans="30:36" ht="18">
      <c r="AD1300" s="93"/>
      <c r="AE1300" s="214"/>
      <c r="AF1300" s="93"/>
      <c r="AG1300" s="93"/>
      <c r="AH1300" s="93"/>
      <c r="AI1300" s="93"/>
      <c r="AJ1300" s="93"/>
    </row>
    <row r="1301" spans="30:36" ht="18">
      <c r="AD1301" s="93"/>
      <c r="AE1301" s="214"/>
      <c r="AF1301" s="93"/>
      <c r="AG1301" s="93"/>
      <c r="AH1301" s="93"/>
      <c r="AI1301" s="93"/>
      <c r="AJ1301" s="93"/>
    </row>
    <row r="1302" spans="30:36" ht="18">
      <c r="AD1302" s="93"/>
      <c r="AE1302" s="214"/>
      <c r="AF1302" s="93"/>
      <c r="AG1302" s="93"/>
      <c r="AH1302" s="93"/>
      <c r="AI1302" s="93"/>
      <c r="AJ1302" s="93"/>
    </row>
    <row r="1303" spans="30:36" ht="18">
      <c r="AD1303" s="93"/>
      <c r="AE1303" s="214"/>
      <c r="AF1303" s="93"/>
      <c r="AG1303" s="93"/>
      <c r="AH1303" s="93"/>
      <c r="AI1303" s="93"/>
      <c r="AJ1303" s="93"/>
    </row>
    <row r="1304" spans="30:36" ht="18">
      <c r="AD1304" s="93"/>
      <c r="AE1304" s="214"/>
      <c r="AF1304" s="93"/>
      <c r="AG1304" s="93"/>
      <c r="AH1304" s="93"/>
      <c r="AI1304" s="93"/>
      <c r="AJ1304" s="93"/>
    </row>
    <row r="1305" spans="30:36" ht="18">
      <c r="AD1305" s="93"/>
      <c r="AE1305" s="214"/>
      <c r="AF1305" s="93"/>
      <c r="AG1305" s="93"/>
      <c r="AH1305" s="93"/>
      <c r="AI1305" s="93"/>
      <c r="AJ1305" s="93"/>
    </row>
    <row r="1306" spans="30:36" ht="18">
      <c r="AD1306" s="93"/>
      <c r="AE1306" s="215"/>
      <c r="AF1306" s="93"/>
      <c r="AG1306" s="93"/>
      <c r="AH1306" s="93"/>
      <c r="AI1306" s="93"/>
      <c r="AJ1306" s="93"/>
    </row>
    <row r="1307" spans="30:36" ht="18">
      <c r="AD1307" s="93"/>
      <c r="AE1307" s="214"/>
      <c r="AF1307" s="93"/>
      <c r="AG1307" s="93"/>
      <c r="AH1307" s="93"/>
      <c r="AI1307" s="93"/>
      <c r="AJ1307" s="93"/>
    </row>
    <row r="1308" spans="30:36" ht="18">
      <c r="AD1308" s="93"/>
      <c r="AE1308" s="214"/>
      <c r="AF1308" s="93"/>
      <c r="AG1308" s="93"/>
      <c r="AH1308" s="93"/>
      <c r="AI1308" s="93"/>
      <c r="AJ1308" s="93"/>
    </row>
    <row r="1309" spans="30:36" ht="18">
      <c r="AD1309" s="93"/>
      <c r="AE1309" s="214"/>
      <c r="AF1309" s="93"/>
      <c r="AG1309" s="93"/>
      <c r="AH1309" s="93"/>
      <c r="AI1309" s="93"/>
      <c r="AJ1309" s="93"/>
    </row>
    <row r="1310" spans="30:36" ht="18">
      <c r="AD1310" s="93"/>
      <c r="AE1310" s="214"/>
      <c r="AF1310" s="93"/>
      <c r="AG1310" s="93"/>
      <c r="AH1310" s="93"/>
      <c r="AI1310" s="93"/>
      <c r="AJ1310" s="93"/>
    </row>
    <row r="1311" spans="30:36" ht="18">
      <c r="AD1311" s="93"/>
      <c r="AE1311" s="214"/>
      <c r="AF1311" s="93"/>
      <c r="AG1311" s="93"/>
      <c r="AH1311" s="93"/>
      <c r="AI1311" s="93"/>
      <c r="AJ1311" s="93"/>
    </row>
    <row r="1312" spans="30:36" ht="18">
      <c r="AD1312" s="93"/>
      <c r="AE1312" s="214"/>
      <c r="AF1312" s="93"/>
      <c r="AG1312" s="93"/>
      <c r="AH1312" s="93"/>
      <c r="AI1312" s="93"/>
      <c r="AJ1312" s="93"/>
    </row>
    <row r="1313" spans="30:36" ht="18">
      <c r="AD1313" s="93"/>
      <c r="AE1313" s="214"/>
      <c r="AF1313" s="93"/>
      <c r="AG1313" s="93"/>
      <c r="AH1313" s="93"/>
      <c r="AI1313" s="93"/>
      <c r="AJ1313" s="93"/>
    </row>
    <row r="1314" spans="30:36" ht="18">
      <c r="AD1314" s="93"/>
      <c r="AE1314" s="214"/>
      <c r="AF1314" s="93"/>
      <c r="AG1314" s="93"/>
      <c r="AH1314" s="93"/>
      <c r="AI1314" s="93"/>
      <c r="AJ1314" s="93"/>
    </row>
    <row r="1315" spans="30:36" ht="18">
      <c r="AD1315" s="93"/>
      <c r="AE1315" s="214"/>
      <c r="AF1315" s="93"/>
      <c r="AG1315" s="93"/>
      <c r="AH1315" s="93"/>
      <c r="AI1315" s="93"/>
      <c r="AJ1315" s="93"/>
    </row>
    <row r="1316" spans="30:36" ht="18">
      <c r="AD1316" s="93"/>
      <c r="AE1316" s="214"/>
      <c r="AF1316" s="93"/>
      <c r="AG1316" s="93"/>
      <c r="AH1316" s="93"/>
      <c r="AI1316" s="93"/>
      <c r="AJ1316" s="93"/>
    </row>
    <row r="1317" spans="30:36" ht="18">
      <c r="AD1317" s="93"/>
      <c r="AE1317" s="215"/>
      <c r="AF1317" s="93"/>
      <c r="AG1317" s="93"/>
      <c r="AH1317" s="93"/>
      <c r="AI1317" s="93"/>
      <c r="AJ1317" s="93"/>
    </row>
    <row r="1318" spans="30:36" ht="18">
      <c r="AD1318" s="93"/>
      <c r="AE1318" s="214"/>
      <c r="AF1318" s="93"/>
      <c r="AG1318" s="93"/>
      <c r="AH1318" s="93"/>
      <c r="AI1318" s="93"/>
      <c r="AJ1318" s="93"/>
    </row>
    <row r="1319" spans="30:36" ht="18">
      <c r="AD1319" s="93"/>
      <c r="AE1319" s="214"/>
      <c r="AF1319" s="93"/>
      <c r="AG1319" s="93"/>
      <c r="AH1319" s="93"/>
      <c r="AI1319" s="93"/>
      <c r="AJ1319" s="93"/>
    </row>
    <row r="1320" spans="30:36" ht="18">
      <c r="AD1320" s="93"/>
      <c r="AE1320" s="214"/>
      <c r="AF1320" s="93"/>
      <c r="AG1320" s="93"/>
      <c r="AH1320" s="93"/>
      <c r="AI1320" s="93"/>
      <c r="AJ1320" s="93"/>
    </row>
    <row r="1321" spans="30:36" ht="18">
      <c r="AD1321" s="93"/>
      <c r="AE1321" s="214"/>
      <c r="AF1321" s="93"/>
      <c r="AG1321" s="93"/>
      <c r="AH1321" s="93"/>
      <c r="AI1321" s="93"/>
      <c r="AJ1321" s="93"/>
    </row>
    <row r="1322" spans="30:36" ht="18">
      <c r="AD1322" s="93"/>
      <c r="AE1322" s="214"/>
      <c r="AF1322" s="93"/>
      <c r="AG1322" s="93"/>
      <c r="AH1322" s="93"/>
      <c r="AI1322" s="93"/>
      <c r="AJ1322" s="93"/>
    </row>
    <row r="1323" spans="30:36" ht="18">
      <c r="AD1323" s="93"/>
      <c r="AE1323" s="215"/>
      <c r="AF1323" s="93"/>
      <c r="AG1323" s="93"/>
      <c r="AH1323" s="93"/>
      <c r="AI1323" s="93"/>
      <c r="AJ1323" s="93"/>
    </row>
    <row r="1324" spans="30:36" ht="18">
      <c r="AD1324" s="93"/>
      <c r="AE1324" s="214"/>
      <c r="AF1324" s="93"/>
      <c r="AG1324" s="93"/>
      <c r="AH1324" s="93"/>
      <c r="AI1324" s="93"/>
      <c r="AJ1324" s="93"/>
    </row>
    <row r="1325" spans="30:36" ht="18">
      <c r="AD1325" s="93"/>
      <c r="AE1325" s="214"/>
      <c r="AF1325" s="93"/>
      <c r="AG1325" s="93"/>
      <c r="AH1325" s="93"/>
      <c r="AI1325" s="93"/>
      <c r="AJ1325" s="93"/>
    </row>
    <row r="1326" spans="30:36" ht="18">
      <c r="AD1326" s="93"/>
      <c r="AE1326" s="214"/>
      <c r="AF1326" s="93"/>
      <c r="AG1326" s="93"/>
      <c r="AH1326" s="93"/>
      <c r="AI1326" s="93"/>
      <c r="AJ1326" s="93"/>
    </row>
    <row r="1327" spans="30:36" ht="18">
      <c r="AD1327" s="93"/>
      <c r="AE1327" s="214"/>
      <c r="AF1327" s="93"/>
      <c r="AG1327" s="93"/>
      <c r="AH1327" s="93"/>
      <c r="AI1327" s="93"/>
      <c r="AJ1327" s="93"/>
    </row>
    <row r="1328" spans="30:36" ht="18">
      <c r="AD1328" s="93"/>
      <c r="AE1328" s="214"/>
      <c r="AF1328" s="93"/>
      <c r="AG1328" s="93"/>
      <c r="AH1328" s="93"/>
      <c r="AI1328" s="93"/>
      <c r="AJ1328" s="93"/>
    </row>
    <row r="1329" spans="30:36" ht="18">
      <c r="AD1329" s="93"/>
      <c r="AE1329" s="214"/>
      <c r="AF1329" s="93"/>
      <c r="AG1329" s="93"/>
      <c r="AH1329" s="93"/>
      <c r="AI1329" s="93"/>
      <c r="AJ1329" s="93"/>
    </row>
    <row r="1330" spans="30:36" ht="18">
      <c r="AD1330" s="93"/>
      <c r="AE1330" s="214"/>
      <c r="AF1330" s="93"/>
      <c r="AG1330" s="93"/>
      <c r="AH1330" s="93"/>
      <c r="AI1330" s="93"/>
      <c r="AJ1330" s="93"/>
    </row>
    <row r="1331" spans="30:36" ht="18">
      <c r="AD1331" s="93"/>
      <c r="AE1331" s="214"/>
      <c r="AF1331" s="93"/>
      <c r="AG1331" s="93"/>
      <c r="AH1331" s="93"/>
      <c r="AI1331" s="93"/>
      <c r="AJ1331" s="93"/>
    </row>
    <row r="1332" spans="30:36" ht="18">
      <c r="AD1332" s="93"/>
      <c r="AE1332" s="214"/>
      <c r="AF1332" s="93"/>
      <c r="AG1332" s="93"/>
      <c r="AH1332" s="93"/>
      <c r="AI1332" s="93"/>
      <c r="AJ1332" s="93"/>
    </row>
    <row r="1333" spans="30:36" ht="18">
      <c r="AD1333" s="93"/>
      <c r="AE1333" s="214"/>
      <c r="AF1333" s="93"/>
      <c r="AG1333" s="93"/>
      <c r="AH1333" s="93"/>
      <c r="AI1333" s="93"/>
      <c r="AJ1333" s="93"/>
    </row>
    <row r="1334" spans="30:36" ht="18">
      <c r="AD1334" s="93"/>
      <c r="AE1334" s="214"/>
      <c r="AF1334" s="93"/>
      <c r="AG1334" s="93"/>
      <c r="AH1334" s="93"/>
      <c r="AI1334" s="93"/>
      <c r="AJ1334" s="93"/>
    </row>
    <row r="1335" spans="30:36" ht="18">
      <c r="AD1335" s="93"/>
      <c r="AE1335" s="214"/>
      <c r="AF1335" s="93"/>
      <c r="AG1335" s="93"/>
      <c r="AH1335" s="93"/>
      <c r="AI1335" s="93"/>
      <c r="AJ1335" s="93"/>
    </row>
    <row r="1336" spans="30:36" ht="18">
      <c r="AD1336" s="93"/>
      <c r="AE1336" s="214"/>
      <c r="AF1336" s="93"/>
      <c r="AG1336" s="93"/>
      <c r="AH1336" s="93"/>
      <c r="AI1336" s="93"/>
      <c r="AJ1336" s="93"/>
    </row>
    <row r="1337" spans="30:36" ht="18">
      <c r="AD1337" s="93"/>
      <c r="AE1337" s="214"/>
      <c r="AF1337" s="93"/>
      <c r="AG1337" s="93"/>
      <c r="AH1337" s="93"/>
      <c r="AI1337" s="93"/>
      <c r="AJ1337" s="93"/>
    </row>
    <row r="1338" spans="30:36" ht="18">
      <c r="AD1338" s="93"/>
      <c r="AE1338" s="214"/>
      <c r="AF1338" s="93"/>
      <c r="AG1338" s="93"/>
      <c r="AH1338" s="93"/>
      <c r="AI1338" s="93"/>
      <c r="AJ1338" s="93"/>
    </row>
    <row r="1339" spans="30:36" ht="18">
      <c r="AD1339" s="93"/>
      <c r="AE1339" s="214"/>
      <c r="AF1339" s="93"/>
      <c r="AG1339" s="93"/>
      <c r="AH1339" s="93"/>
      <c r="AI1339" s="93"/>
      <c r="AJ1339" s="93"/>
    </row>
    <row r="1340" spans="30:36" ht="18">
      <c r="AD1340" s="93"/>
      <c r="AE1340" s="214"/>
      <c r="AF1340" s="93"/>
      <c r="AG1340" s="93"/>
      <c r="AH1340" s="93"/>
      <c r="AI1340" s="93"/>
      <c r="AJ1340" s="93"/>
    </row>
    <row r="1341" spans="30:36" ht="18">
      <c r="AD1341" s="93"/>
      <c r="AE1341" s="214"/>
      <c r="AF1341" s="93"/>
      <c r="AG1341" s="93"/>
      <c r="AH1341" s="93"/>
      <c r="AI1341" s="93"/>
      <c r="AJ1341" s="93"/>
    </row>
    <row r="1342" spans="30:36" ht="18">
      <c r="AD1342" s="93"/>
      <c r="AE1342" s="214"/>
      <c r="AF1342" s="93"/>
      <c r="AG1342" s="93"/>
      <c r="AH1342" s="93"/>
      <c r="AI1342" s="93"/>
      <c r="AJ1342" s="93"/>
    </row>
    <row r="1343" spans="30:36" ht="18">
      <c r="AD1343" s="93"/>
      <c r="AE1343" s="214"/>
      <c r="AF1343" s="93"/>
      <c r="AG1343" s="93"/>
      <c r="AH1343" s="93"/>
      <c r="AI1343" s="93"/>
      <c r="AJ1343" s="93"/>
    </row>
    <row r="1344" spans="30:36" ht="18">
      <c r="AD1344" s="93"/>
      <c r="AE1344" s="214"/>
      <c r="AF1344" s="93"/>
      <c r="AG1344" s="93"/>
      <c r="AH1344" s="93"/>
      <c r="AI1344" s="93"/>
      <c r="AJ1344" s="93"/>
    </row>
    <row r="1345" spans="30:36" ht="18">
      <c r="AD1345" s="93"/>
      <c r="AE1345" s="214"/>
      <c r="AF1345" s="93"/>
      <c r="AG1345" s="93"/>
      <c r="AH1345" s="93"/>
      <c r="AI1345" s="93"/>
      <c r="AJ1345" s="93"/>
    </row>
    <row r="1346" spans="30:36" ht="18">
      <c r="AD1346" s="93"/>
      <c r="AE1346" s="214"/>
      <c r="AF1346" s="93"/>
      <c r="AG1346" s="93"/>
      <c r="AH1346" s="93"/>
      <c r="AI1346" s="93"/>
      <c r="AJ1346" s="93"/>
    </row>
    <row r="1347" spans="30:36" ht="18">
      <c r="AD1347" s="93"/>
      <c r="AE1347" s="214"/>
      <c r="AF1347" s="93"/>
      <c r="AG1347" s="93"/>
      <c r="AH1347" s="93"/>
      <c r="AI1347" s="93"/>
      <c r="AJ1347" s="93"/>
    </row>
    <row r="1348" spans="30:36" ht="18">
      <c r="AD1348" s="93"/>
      <c r="AE1348" s="214"/>
      <c r="AF1348" s="93"/>
      <c r="AG1348" s="93"/>
      <c r="AH1348" s="93"/>
      <c r="AI1348" s="93"/>
      <c r="AJ1348" s="93"/>
    </row>
    <row r="1349" spans="30:36" ht="18">
      <c r="AD1349" s="93"/>
      <c r="AE1349" s="214"/>
      <c r="AF1349" s="93"/>
      <c r="AG1349" s="93"/>
      <c r="AH1349" s="93"/>
      <c r="AI1349" s="93"/>
      <c r="AJ1349" s="93"/>
    </row>
    <row r="1350" spans="30:36" ht="18">
      <c r="AD1350" s="93"/>
      <c r="AE1350" s="214"/>
      <c r="AF1350" s="93"/>
      <c r="AG1350" s="93"/>
      <c r="AH1350" s="93"/>
      <c r="AI1350" s="93"/>
      <c r="AJ1350" s="93"/>
    </row>
    <row r="1351" spans="30:36" ht="18">
      <c r="AD1351" s="93"/>
      <c r="AE1351" s="214"/>
      <c r="AF1351" s="93"/>
      <c r="AG1351" s="93"/>
      <c r="AH1351" s="93"/>
      <c r="AI1351" s="93"/>
      <c r="AJ1351" s="93"/>
    </row>
    <row r="1352" spans="30:36" ht="18">
      <c r="AD1352" s="93"/>
      <c r="AE1352" s="214"/>
      <c r="AF1352" s="93"/>
      <c r="AG1352" s="93"/>
      <c r="AH1352" s="93"/>
      <c r="AI1352" s="93"/>
      <c r="AJ1352" s="93"/>
    </row>
    <row r="1353" spans="30:36" ht="18">
      <c r="AD1353" s="93"/>
      <c r="AE1353" s="214"/>
      <c r="AF1353" s="93"/>
      <c r="AG1353" s="93"/>
      <c r="AH1353" s="93"/>
      <c r="AI1353" s="93"/>
      <c r="AJ1353" s="93"/>
    </row>
    <row r="1354" spans="30:36" ht="18">
      <c r="AD1354" s="93"/>
      <c r="AE1354" s="214"/>
      <c r="AF1354" s="93"/>
      <c r="AG1354" s="93"/>
      <c r="AH1354" s="93"/>
      <c r="AI1354" s="93"/>
      <c r="AJ1354" s="93"/>
    </row>
    <row r="1355" spans="30:36" ht="18">
      <c r="AD1355" s="93"/>
      <c r="AE1355" s="215"/>
      <c r="AF1355" s="93"/>
      <c r="AG1355" s="93"/>
      <c r="AH1355" s="93"/>
      <c r="AI1355" s="93"/>
      <c r="AJ1355" s="93"/>
    </row>
    <row r="1356" spans="30:36" ht="18">
      <c r="AD1356" s="93"/>
      <c r="AE1356" s="215"/>
      <c r="AF1356" s="93"/>
      <c r="AG1356" s="93"/>
      <c r="AH1356" s="93"/>
      <c r="AI1356" s="93"/>
      <c r="AJ1356" s="93"/>
    </row>
    <row r="1357" spans="30:36" ht="18">
      <c r="AD1357" s="93"/>
      <c r="AE1357" s="214"/>
      <c r="AF1357" s="93"/>
      <c r="AG1357" s="93"/>
      <c r="AH1357" s="93"/>
      <c r="AI1357" s="93"/>
      <c r="AJ1357" s="93"/>
    </row>
    <row r="1358" spans="30:36" ht="18">
      <c r="AD1358" s="93"/>
      <c r="AE1358" s="214"/>
      <c r="AF1358" s="93"/>
      <c r="AG1358" s="93"/>
      <c r="AH1358" s="93"/>
      <c r="AI1358" s="93"/>
      <c r="AJ1358" s="93"/>
    </row>
    <row r="1359" spans="30:36" ht="18">
      <c r="AD1359" s="93"/>
      <c r="AE1359" s="214"/>
      <c r="AF1359" s="93"/>
      <c r="AG1359" s="93"/>
      <c r="AH1359" s="93"/>
      <c r="AI1359" s="93"/>
      <c r="AJ1359" s="93"/>
    </row>
    <row r="1360" spans="30:36" ht="18">
      <c r="AD1360" s="93"/>
      <c r="AE1360" s="214"/>
      <c r="AF1360" s="93"/>
      <c r="AG1360" s="93"/>
      <c r="AH1360" s="93"/>
      <c r="AI1360" s="93"/>
      <c r="AJ1360" s="93"/>
    </row>
    <row r="1361" spans="30:36" ht="18">
      <c r="AD1361" s="93"/>
      <c r="AE1361" s="214"/>
      <c r="AF1361" s="93"/>
      <c r="AG1361" s="93"/>
      <c r="AH1361" s="93"/>
      <c r="AI1361" s="93"/>
      <c r="AJ1361" s="93"/>
    </row>
    <row r="1362" spans="30:36" ht="18">
      <c r="AD1362" s="93"/>
      <c r="AE1362" s="215"/>
      <c r="AF1362" s="93"/>
      <c r="AG1362" s="93"/>
      <c r="AH1362" s="93"/>
      <c r="AI1362" s="93"/>
      <c r="AJ1362" s="93"/>
    </row>
    <row r="1363" spans="30:36" ht="18">
      <c r="AD1363" s="93"/>
      <c r="AE1363" s="215"/>
      <c r="AF1363" s="93"/>
      <c r="AG1363" s="93"/>
      <c r="AH1363" s="93"/>
      <c r="AI1363" s="93"/>
      <c r="AJ1363" s="93"/>
    </row>
    <row r="1364" spans="30:36" ht="18">
      <c r="AD1364" s="93"/>
      <c r="AE1364" s="215"/>
      <c r="AF1364" s="93"/>
      <c r="AG1364" s="93"/>
      <c r="AH1364" s="93"/>
      <c r="AI1364" s="93"/>
      <c r="AJ1364" s="93"/>
    </row>
    <row r="1365" spans="30:36" ht="18">
      <c r="AD1365" s="93"/>
      <c r="AE1365" s="214"/>
      <c r="AF1365" s="93"/>
      <c r="AG1365" s="93"/>
      <c r="AH1365" s="93"/>
      <c r="AI1365" s="93"/>
      <c r="AJ1365" s="93"/>
    </row>
    <row r="1366" spans="30:36" ht="18">
      <c r="AD1366" s="93"/>
      <c r="AE1366" s="214"/>
      <c r="AF1366" s="93"/>
      <c r="AG1366" s="93"/>
      <c r="AH1366" s="93"/>
      <c r="AI1366" s="93"/>
      <c r="AJ1366" s="93"/>
    </row>
    <row r="1367" spans="30:36" ht="18">
      <c r="AD1367" s="93"/>
      <c r="AE1367" s="215"/>
      <c r="AF1367" s="93"/>
      <c r="AG1367" s="93"/>
      <c r="AH1367" s="93"/>
      <c r="AI1367" s="93"/>
      <c r="AJ1367" s="93"/>
    </row>
    <row r="1368" spans="30:36" ht="18">
      <c r="AD1368" s="93"/>
      <c r="AE1368" s="214"/>
      <c r="AF1368" s="93"/>
      <c r="AG1368" s="93"/>
      <c r="AH1368" s="93"/>
      <c r="AI1368" s="93"/>
      <c r="AJ1368" s="93"/>
    </row>
    <row r="1369" spans="30:36" ht="18">
      <c r="AD1369" s="93"/>
      <c r="AE1369" s="214"/>
      <c r="AF1369" s="93"/>
      <c r="AG1369" s="93"/>
      <c r="AH1369" s="93"/>
      <c r="AI1369" s="93"/>
      <c r="AJ1369" s="93"/>
    </row>
    <row r="1370" spans="30:36" ht="18">
      <c r="AD1370" s="93"/>
      <c r="AE1370" s="215"/>
      <c r="AF1370" s="93"/>
      <c r="AG1370" s="93"/>
      <c r="AH1370" s="93"/>
      <c r="AI1370" s="93"/>
      <c r="AJ1370" s="93"/>
    </row>
    <row r="1371" spans="30:36" ht="18">
      <c r="AD1371" s="93"/>
      <c r="AE1371" s="215"/>
      <c r="AF1371" s="93"/>
      <c r="AG1371" s="93"/>
      <c r="AH1371" s="93"/>
      <c r="AI1371" s="93"/>
      <c r="AJ1371" s="93"/>
    </row>
    <row r="1372" spans="30:36" ht="18">
      <c r="AD1372" s="93"/>
      <c r="AE1372" s="214"/>
      <c r="AF1372" s="93"/>
      <c r="AG1372" s="93"/>
      <c r="AH1372" s="93"/>
      <c r="AI1372" s="93"/>
      <c r="AJ1372" s="93"/>
    </row>
    <row r="1373" spans="30:36" ht="18">
      <c r="AD1373" s="93"/>
      <c r="AE1373" s="214"/>
      <c r="AF1373" s="93"/>
      <c r="AG1373" s="93"/>
      <c r="AH1373" s="93"/>
      <c r="AI1373" s="93"/>
      <c r="AJ1373" s="93"/>
    </row>
    <row r="1374" spans="30:36" ht="18">
      <c r="AD1374" s="93"/>
      <c r="AE1374" s="215"/>
      <c r="AF1374" s="93"/>
      <c r="AG1374" s="93"/>
      <c r="AH1374" s="93"/>
      <c r="AI1374" s="93"/>
      <c r="AJ1374" s="93"/>
    </row>
    <row r="1375" spans="30:36" ht="18">
      <c r="AD1375" s="93"/>
      <c r="AE1375" s="214"/>
      <c r="AF1375" s="93"/>
      <c r="AG1375" s="93"/>
      <c r="AH1375" s="93"/>
      <c r="AI1375" s="93"/>
      <c r="AJ1375" s="93"/>
    </row>
    <row r="1376" spans="30:36" ht="18">
      <c r="AD1376" s="93"/>
      <c r="AE1376" s="214"/>
      <c r="AF1376" s="93"/>
      <c r="AG1376" s="93"/>
      <c r="AH1376" s="93"/>
      <c r="AI1376" s="93"/>
      <c r="AJ1376" s="93"/>
    </row>
    <row r="1377" spans="30:36" ht="18">
      <c r="AD1377" s="93"/>
      <c r="AE1377" s="215"/>
      <c r="AF1377" s="93"/>
      <c r="AG1377" s="93"/>
      <c r="AH1377" s="93"/>
      <c r="AI1377" s="93"/>
      <c r="AJ1377" s="93"/>
    </row>
    <row r="1378" spans="30:36" ht="18">
      <c r="AD1378" s="93"/>
      <c r="AE1378" s="214"/>
      <c r="AF1378" s="93"/>
      <c r="AG1378" s="93"/>
      <c r="AH1378" s="93"/>
      <c r="AI1378" s="93"/>
      <c r="AJ1378" s="93"/>
    </row>
    <row r="1379" spans="30:36" ht="18">
      <c r="AD1379" s="93"/>
      <c r="AE1379" s="214"/>
      <c r="AF1379" s="93"/>
      <c r="AG1379" s="93"/>
      <c r="AH1379" s="93"/>
      <c r="AI1379" s="93"/>
      <c r="AJ1379" s="93"/>
    </row>
    <row r="1380" spans="30:36" ht="18">
      <c r="AD1380" s="93"/>
      <c r="AE1380" s="214"/>
      <c r="AF1380" s="93"/>
      <c r="AG1380" s="93"/>
      <c r="AH1380" s="93"/>
      <c r="AI1380" s="93"/>
      <c r="AJ1380" s="93"/>
    </row>
    <row r="1381" spans="30:36" ht="18">
      <c r="AD1381" s="93"/>
      <c r="AE1381" s="214"/>
      <c r="AF1381" s="93"/>
      <c r="AG1381" s="93"/>
      <c r="AH1381" s="93"/>
      <c r="AI1381" s="93"/>
      <c r="AJ1381" s="93"/>
    </row>
    <row r="1382" spans="30:36" ht="18">
      <c r="AD1382" s="93"/>
      <c r="AE1382" s="214"/>
      <c r="AF1382" s="93"/>
      <c r="AG1382" s="93"/>
      <c r="AH1382" s="93"/>
      <c r="AI1382" s="93"/>
      <c r="AJ1382" s="93"/>
    </row>
    <row r="1383" spans="30:36" ht="18">
      <c r="AD1383" s="93"/>
      <c r="AE1383" s="215"/>
      <c r="AF1383" s="93"/>
      <c r="AG1383" s="93"/>
      <c r="AH1383" s="93"/>
      <c r="AI1383" s="93"/>
      <c r="AJ1383" s="93"/>
    </row>
    <row r="1384" spans="30:36" ht="18">
      <c r="AD1384" s="93"/>
      <c r="AE1384" s="214"/>
      <c r="AF1384" s="93"/>
      <c r="AG1384" s="93"/>
      <c r="AH1384" s="93"/>
      <c r="AI1384" s="93"/>
      <c r="AJ1384" s="93"/>
    </row>
    <row r="1385" spans="30:36" ht="18">
      <c r="AD1385" s="93"/>
      <c r="AE1385" s="214"/>
      <c r="AF1385" s="93"/>
      <c r="AG1385" s="93"/>
      <c r="AH1385" s="93"/>
      <c r="AI1385" s="93"/>
      <c r="AJ1385" s="93"/>
    </row>
    <row r="1386" spans="30:36" ht="18">
      <c r="AD1386" s="93"/>
      <c r="AE1386" s="215"/>
      <c r="AF1386" s="93"/>
      <c r="AG1386" s="93"/>
      <c r="AH1386" s="93"/>
      <c r="AI1386" s="93"/>
      <c r="AJ1386" s="93"/>
    </row>
    <row r="1387" spans="30:36" ht="18">
      <c r="AD1387" s="93"/>
      <c r="AE1387" s="214"/>
      <c r="AF1387" s="93"/>
      <c r="AG1387" s="93"/>
      <c r="AH1387" s="93"/>
      <c r="AI1387" s="93"/>
      <c r="AJ1387" s="93"/>
    </row>
    <row r="1388" spans="30:36" ht="18">
      <c r="AD1388" s="93"/>
      <c r="AE1388" s="214"/>
      <c r="AF1388" s="93"/>
      <c r="AG1388" s="93"/>
      <c r="AH1388" s="93"/>
      <c r="AI1388" s="93"/>
      <c r="AJ1388" s="93"/>
    </row>
    <row r="1389" spans="30:36" ht="18">
      <c r="AD1389" s="93"/>
      <c r="AE1389" s="214"/>
      <c r="AF1389" s="93"/>
      <c r="AG1389" s="93"/>
      <c r="AH1389" s="93"/>
      <c r="AI1389" s="93"/>
      <c r="AJ1389" s="93"/>
    </row>
    <row r="1390" spans="30:36" ht="18">
      <c r="AD1390" s="93"/>
      <c r="AE1390" s="214"/>
      <c r="AF1390" s="93"/>
      <c r="AG1390" s="93"/>
      <c r="AH1390" s="93"/>
      <c r="AI1390" s="93"/>
      <c r="AJ1390" s="93"/>
    </row>
    <row r="1391" spans="30:36" ht="18">
      <c r="AD1391" s="93"/>
      <c r="AE1391" s="214"/>
      <c r="AF1391" s="93"/>
      <c r="AG1391" s="93"/>
      <c r="AH1391" s="93"/>
      <c r="AI1391" s="93"/>
      <c r="AJ1391" s="93"/>
    </row>
    <row r="1392" spans="30:36" ht="18">
      <c r="AD1392" s="93"/>
      <c r="AE1392" s="215"/>
      <c r="AF1392" s="93"/>
      <c r="AG1392" s="93"/>
      <c r="AH1392" s="93"/>
      <c r="AI1392" s="93"/>
      <c r="AJ1392" s="93"/>
    </row>
    <row r="1393" spans="30:36" ht="18">
      <c r="AD1393" s="93"/>
      <c r="AE1393" s="215"/>
      <c r="AF1393" s="93"/>
      <c r="AG1393" s="93"/>
      <c r="AH1393" s="93"/>
      <c r="AI1393" s="93"/>
      <c r="AJ1393" s="93"/>
    </row>
    <row r="1394" spans="30:36" ht="18">
      <c r="AD1394" s="93"/>
      <c r="AE1394" s="214"/>
      <c r="AF1394" s="93"/>
      <c r="AG1394" s="93"/>
      <c r="AH1394" s="93"/>
      <c r="AI1394" s="93"/>
      <c r="AJ1394" s="93"/>
    </row>
    <row r="1395" spans="30:36" ht="18">
      <c r="AD1395" s="93"/>
      <c r="AE1395" s="214"/>
      <c r="AF1395" s="93"/>
      <c r="AG1395" s="93"/>
      <c r="AH1395" s="93"/>
      <c r="AI1395" s="93"/>
      <c r="AJ1395" s="93"/>
    </row>
    <row r="1396" spans="30:36" ht="18">
      <c r="AD1396" s="93"/>
      <c r="AE1396" s="214"/>
      <c r="AF1396" s="94"/>
      <c r="AG1396" s="93"/>
      <c r="AH1396" s="93"/>
      <c r="AI1396" s="93"/>
      <c r="AJ1396" s="93"/>
    </row>
    <row r="1397" spans="30:36" ht="18">
      <c r="AD1397" s="93"/>
      <c r="AE1397" s="214"/>
      <c r="AF1397" s="94"/>
      <c r="AG1397" s="93"/>
      <c r="AH1397" s="93"/>
      <c r="AI1397" s="93"/>
      <c r="AJ1397" s="93"/>
    </row>
    <row r="1398" spans="30:36" ht="18">
      <c r="AD1398" s="93"/>
      <c r="AE1398" s="214"/>
      <c r="AF1398" s="94"/>
      <c r="AG1398" s="93"/>
      <c r="AH1398" s="93"/>
      <c r="AI1398" s="93"/>
      <c r="AJ1398" s="93"/>
    </row>
    <row r="1399" spans="30:36" ht="18">
      <c r="AD1399" s="93"/>
      <c r="AE1399" s="215"/>
      <c r="AF1399" s="93"/>
      <c r="AG1399" s="93"/>
      <c r="AH1399" s="93"/>
      <c r="AI1399" s="93"/>
      <c r="AJ1399" s="93"/>
    </row>
    <row r="1400" spans="30:36" ht="18">
      <c r="AD1400" s="93"/>
      <c r="AE1400" s="215"/>
      <c r="AF1400" s="93"/>
      <c r="AG1400" s="93"/>
      <c r="AH1400" s="93"/>
      <c r="AI1400" s="93"/>
      <c r="AJ1400" s="93"/>
    </row>
    <row r="1401" spans="30:36" ht="18">
      <c r="AD1401" s="93"/>
      <c r="AE1401" s="215"/>
      <c r="AF1401" s="93"/>
      <c r="AG1401" s="93"/>
      <c r="AH1401" s="93"/>
      <c r="AI1401" s="93"/>
      <c r="AJ1401" s="93"/>
    </row>
    <row r="1402" spans="30:36" ht="18">
      <c r="AD1402" s="93"/>
      <c r="AE1402" s="214"/>
      <c r="AF1402" s="93"/>
      <c r="AG1402" s="93"/>
      <c r="AH1402" s="93"/>
      <c r="AI1402" s="93"/>
      <c r="AJ1402" s="93"/>
    </row>
    <row r="1403" spans="30:36" ht="18">
      <c r="AD1403" s="93"/>
      <c r="AE1403" s="214"/>
      <c r="AF1403" s="93"/>
      <c r="AG1403" s="93"/>
      <c r="AH1403" s="93"/>
      <c r="AI1403" s="93"/>
      <c r="AJ1403" s="93"/>
    </row>
    <row r="1404" spans="30:36" ht="18">
      <c r="AD1404" s="93"/>
      <c r="AE1404" s="214"/>
      <c r="AF1404" s="93"/>
      <c r="AG1404" s="93"/>
      <c r="AH1404" s="93"/>
      <c r="AI1404" s="93"/>
      <c r="AJ1404" s="93"/>
    </row>
    <row r="1405" spans="30:36" ht="18">
      <c r="AD1405" s="93"/>
      <c r="AE1405" s="214"/>
      <c r="AF1405" s="93"/>
      <c r="AG1405" s="93"/>
      <c r="AH1405" s="93"/>
      <c r="AI1405" s="93"/>
      <c r="AJ1405" s="93"/>
    </row>
    <row r="1406" spans="30:36" ht="18">
      <c r="AD1406" s="93"/>
      <c r="AE1406" s="214"/>
      <c r="AF1406" s="93"/>
      <c r="AG1406" s="93"/>
      <c r="AH1406" s="93"/>
      <c r="AI1406" s="93"/>
      <c r="AJ1406" s="93"/>
    </row>
    <row r="1407" spans="30:36" ht="18">
      <c r="AD1407" s="93"/>
      <c r="AE1407" s="214"/>
      <c r="AF1407" s="93"/>
      <c r="AG1407" s="93"/>
      <c r="AH1407" s="93"/>
      <c r="AI1407" s="93"/>
      <c r="AJ1407" s="93"/>
    </row>
    <row r="1408" spans="30:36" ht="18">
      <c r="AD1408" s="93"/>
      <c r="AE1408" s="214"/>
      <c r="AF1408" s="93"/>
      <c r="AG1408" s="93"/>
      <c r="AH1408" s="93"/>
      <c r="AI1408" s="93"/>
      <c r="AJ1408" s="93"/>
    </row>
    <row r="1409" spans="30:36" ht="18">
      <c r="AD1409" s="93"/>
      <c r="AE1409" s="215"/>
      <c r="AF1409" s="93"/>
      <c r="AG1409" s="93"/>
      <c r="AH1409" s="93"/>
      <c r="AI1409" s="93"/>
      <c r="AJ1409" s="93"/>
    </row>
    <row r="1410" spans="30:36" ht="18">
      <c r="AD1410" s="93"/>
      <c r="AE1410" s="214"/>
      <c r="AF1410" s="93"/>
      <c r="AG1410" s="93"/>
      <c r="AH1410" s="93"/>
      <c r="AI1410" s="93"/>
      <c r="AJ1410" s="93"/>
    </row>
    <row r="1411" spans="30:36" ht="18">
      <c r="AD1411" s="93"/>
      <c r="AE1411" s="214"/>
      <c r="AF1411" s="93"/>
      <c r="AG1411" s="93"/>
      <c r="AH1411" s="93"/>
      <c r="AI1411" s="93"/>
      <c r="AJ1411" s="93"/>
    </row>
    <row r="1412" spans="30:36" ht="18">
      <c r="AD1412" s="93"/>
      <c r="AE1412" s="215"/>
      <c r="AF1412" s="93"/>
      <c r="AG1412" s="93"/>
      <c r="AH1412" s="93"/>
      <c r="AI1412" s="93"/>
      <c r="AJ1412" s="93"/>
    </row>
    <row r="1413" spans="30:36" ht="18">
      <c r="AD1413" s="93"/>
      <c r="AE1413" s="214"/>
      <c r="AF1413" s="93"/>
      <c r="AG1413" s="93"/>
      <c r="AH1413" s="93"/>
      <c r="AI1413" s="93"/>
      <c r="AJ1413" s="93"/>
    </row>
    <row r="1414" spans="30:36" ht="18">
      <c r="AD1414" s="93"/>
      <c r="AE1414" s="214"/>
      <c r="AF1414" s="93"/>
      <c r="AG1414" s="93"/>
      <c r="AH1414" s="93"/>
      <c r="AI1414" s="93"/>
      <c r="AJ1414" s="93"/>
    </row>
    <row r="1415" spans="30:36" ht="18">
      <c r="AD1415" s="93"/>
      <c r="AE1415" s="215"/>
      <c r="AF1415" s="93"/>
      <c r="AG1415" s="93"/>
      <c r="AH1415" s="93"/>
      <c r="AI1415" s="93"/>
      <c r="AJ1415" s="93"/>
    </row>
    <row r="1416" spans="30:36" ht="18">
      <c r="AD1416" s="93"/>
      <c r="AE1416" s="214"/>
      <c r="AF1416" s="93"/>
      <c r="AG1416" s="93"/>
      <c r="AH1416" s="93"/>
      <c r="AI1416" s="93"/>
      <c r="AJ1416" s="93"/>
    </row>
    <row r="1417" spans="30:36" ht="18">
      <c r="AD1417" s="93"/>
      <c r="AE1417" s="214"/>
      <c r="AF1417" s="93"/>
      <c r="AG1417" s="93"/>
      <c r="AH1417" s="93"/>
      <c r="AI1417" s="93"/>
      <c r="AJ1417" s="93"/>
    </row>
    <row r="1418" spans="30:36" ht="18">
      <c r="AD1418" s="93"/>
      <c r="AE1418" s="215"/>
      <c r="AF1418" s="93"/>
      <c r="AG1418" s="93"/>
      <c r="AH1418" s="93"/>
      <c r="AI1418" s="93"/>
      <c r="AJ1418" s="93"/>
    </row>
    <row r="1419" spans="30:36" ht="18">
      <c r="AD1419" s="93"/>
      <c r="AE1419" s="214"/>
      <c r="AF1419" s="93"/>
      <c r="AG1419" s="93"/>
      <c r="AH1419" s="93"/>
      <c r="AI1419" s="93"/>
      <c r="AJ1419" s="93"/>
    </row>
    <row r="1420" spans="30:36" ht="18">
      <c r="AD1420" s="93"/>
      <c r="AE1420" s="214"/>
      <c r="AF1420" s="93"/>
      <c r="AG1420" s="93"/>
      <c r="AH1420" s="93"/>
      <c r="AI1420" s="93"/>
      <c r="AJ1420" s="93"/>
    </row>
    <row r="1421" spans="30:36" ht="18">
      <c r="AD1421" s="93"/>
      <c r="AE1421" s="214"/>
      <c r="AF1421" s="93"/>
      <c r="AG1421" s="93"/>
      <c r="AH1421" s="93"/>
      <c r="AI1421" s="93"/>
      <c r="AJ1421" s="93"/>
    </row>
    <row r="1422" spans="30:36" ht="18">
      <c r="AD1422" s="93"/>
      <c r="AE1422" s="215"/>
      <c r="AF1422" s="93"/>
      <c r="AG1422" s="93"/>
      <c r="AH1422" s="93"/>
      <c r="AI1422" s="93"/>
      <c r="AJ1422" s="93"/>
    </row>
    <row r="1423" spans="30:36" ht="18">
      <c r="AD1423" s="93"/>
      <c r="AE1423" s="215"/>
      <c r="AF1423" s="93"/>
      <c r="AG1423" s="93"/>
      <c r="AH1423" s="93"/>
      <c r="AI1423" s="93"/>
      <c r="AJ1423" s="93"/>
    </row>
    <row r="1424" spans="30:36" ht="18">
      <c r="AD1424" s="93"/>
      <c r="AE1424" s="215"/>
      <c r="AF1424" s="93"/>
      <c r="AG1424" s="93"/>
      <c r="AH1424" s="93"/>
      <c r="AI1424" s="93"/>
      <c r="AJ1424" s="93"/>
    </row>
    <row r="1425" spans="30:36" ht="18">
      <c r="AD1425" s="93"/>
      <c r="AE1425" s="214"/>
      <c r="AF1425" s="93"/>
      <c r="AG1425" s="93"/>
      <c r="AH1425" s="93"/>
      <c r="AI1425" s="93"/>
      <c r="AJ1425" s="93"/>
    </row>
    <row r="1426" spans="30:36" ht="18">
      <c r="AD1426" s="93"/>
      <c r="AE1426" s="214"/>
      <c r="AF1426" s="93"/>
      <c r="AG1426" s="93"/>
      <c r="AH1426" s="93"/>
      <c r="AI1426" s="93"/>
      <c r="AJ1426" s="93"/>
    </row>
    <row r="1427" spans="30:36" ht="18">
      <c r="AD1427" s="93"/>
      <c r="AE1427" s="215"/>
      <c r="AF1427" s="93"/>
      <c r="AG1427" s="93"/>
      <c r="AH1427" s="93"/>
      <c r="AI1427" s="93"/>
      <c r="AJ1427" s="93"/>
    </row>
    <row r="1428" spans="30:36" ht="18">
      <c r="AD1428" s="93"/>
      <c r="AE1428" s="215"/>
      <c r="AF1428" s="93"/>
      <c r="AG1428" s="93"/>
      <c r="AH1428" s="93"/>
      <c r="AI1428" s="93"/>
      <c r="AJ1428" s="93"/>
    </row>
    <row r="1429" spans="30:36" ht="18">
      <c r="AD1429" s="93"/>
      <c r="AE1429" s="214"/>
      <c r="AF1429" s="93"/>
      <c r="AG1429" s="93"/>
      <c r="AH1429" s="93"/>
      <c r="AI1429" s="93"/>
      <c r="AJ1429" s="93"/>
    </row>
    <row r="1430" spans="30:36" ht="18">
      <c r="AD1430" s="93"/>
      <c r="AE1430" s="214"/>
      <c r="AF1430" s="93"/>
      <c r="AG1430" s="93"/>
      <c r="AH1430" s="93"/>
      <c r="AI1430" s="93"/>
      <c r="AJ1430" s="93"/>
    </row>
    <row r="1431" spans="30:36" ht="18">
      <c r="AD1431" s="93"/>
      <c r="AE1431" s="215"/>
      <c r="AF1431" s="93"/>
      <c r="AG1431" s="93"/>
      <c r="AH1431" s="93"/>
      <c r="AI1431" s="93"/>
      <c r="AJ1431" s="93"/>
    </row>
    <row r="1432" spans="30:36" ht="18">
      <c r="AD1432" s="93"/>
      <c r="AE1432" s="214"/>
      <c r="AF1432" s="93"/>
      <c r="AG1432" s="93"/>
      <c r="AH1432" s="93"/>
      <c r="AI1432" s="93"/>
      <c r="AJ1432" s="93"/>
    </row>
    <row r="1433" spans="30:36" ht="18">
      <c r="AD1433" s="93"/>
      <c r="AE1433" s="214"/>
      <c r="AF1433" s="93"/>
      <c r="AG1433" s="93"/>
      <c r="AH1433" s="93"/>
      <c r="AI1433" s="93"/>
      <c r="AJ1433" s="93"/>
    </row>
    <row r="1434" spans="30:36" ht="18">
      <c r="AD1434" s="93"/>
      <c r="AE1434" s="215"/>
      <c r="AF1434" s="93"/>
      <c r="AG1434" s="93"/>
      <c r="AH1434" s="93"/>
      <c r="AI1434" s="93"/>
      <c r="AJ1434" s="93"/>
    </row>
    <row r="1435" spans="30:36" ht="18">
      <c r="AD1435" s="93"/>
      <c r="AE1435" s="214"/>
      <c r="AF1435" s="93"/>
      <c r="AG1435" s="93"/>
      <c r="AH1435" s="93"/>
      <c r="AI1435" s="93"/>
      <c r="AJ1435" s="93"/>
    </row>
    <row r="1436" spans="30:36" ht="18">
      <c r="AD1436" s="93"/>
      <c r="AE1436" s="214"/>
      <c r="AF1436" s="93"/>
      <c r="AG1436" s="93"/>
      <c r="AH1436" s="93"/>
      <c r="AI1436" s="93"/>
      <c r="AJ1436" s="93"/>
    </row>
    <row r="1437" spans="30:36" ht="18">
      <c r="AD1437" s="93"/>
      <c r="AE1437" s="215"/>
      <c r="AF1437" s="93"/>
      <c r="AG1437" s="93"/>
      <c r="AH1437" s="93"/>
      <c r="AI1437" s="93"/>
      <c r="AJ1437" s="93"/>
    </row>
    <row r="1438" spans="30:36" ht="18">
      <c r="AD1438" s="93"/>
      <c r="AE1438" s="214"/>
      <c r="AF1438" s="93"/>
      <c r="AG1438" s="93"/>
      <c r="AH1438" s="93"/>
      <c r="AI1438" s="93"/>
      <c r="AJ1438" s="93"/>
    </row>
    <row r="1439" spans="30:36" ht="18">
      <c r="AD1439" s="93"/>
      <c r="AE1439" s="214"/>
      <c r="AF1439" s="93"/>
      <c r="AG1439" s="93"/>
      <c r="AH1439" s="93"/>
      <c r="AI1439" s="93"/>
      <c r="AJ1439" s="93"/>
    </row>
    <row r="1440" spans="30:36" ht="18">
      <c r="AD1440" s="93"/>
      <c r="AE1440" s="214"/>
      <c r="AF1440" s="93"/>
      <c r="AG1440" s="93"/>
      <c r="AH1440" s="93"/>
      <c r="AI1440" s="93"/>
      <c r="AJ1440" s="93"/>
    </row>
    <row r="1441" spans="30:36" ht="18">
      <c r="AD1441" s="93"/>
      <c r="AE1441" s="214"/>
      <c r="AF1441" s="93"/>
      <c r="AG1441" s="93"/>
      <c r="AH1441" s="93"/>
      <c r="AI1441" s="93"/>
      <c r="AJ1441" s="93"/>
    </row>
    <row r="1442" spans="30:36" ht="18">
      <c r="AD1442" s="93"/>
      <c r="AE1442" s="215"/>
      <c r="AF1442" s="93"/>
      <c r="AG1442" s="93"/>
      <c r="AH1442" s="93"/>
      <c r="AI1442" s="93"/>
      <c r="AJ1442" s="93"/>
    </row>
    <row r="1443" spans="30:36" ht="18">
      <c r="AD1443" s="93"/>
      <c r="AE1443" s="214"/>
      <c r="AF1443" s="93"/>
      <c r="AG1443" s="93"/>
      <c r="AH1443" s="93"/>
      <c r="AI1443" s="93"/>
      <c r="AJ1443" s="93"/>
    </row>
    <row r="1444" spans="30:36" ht="18">
      <c r="AD1444" s="93"/>
      <c r="AE1444" s="214"/>
      <c r="AF1444" s="93"/>
      <c r="AG1444" s="93"/>
      <c r="AH1444" s="93"/>
      <c r="AI1444" s="93"/>
      <c r="AJ1444" s="93"/>
    </row>
    <row r="1445" spans="30:36" ht="18">
      <c r="AD1445" s="93"/>
      <c r="AE1445" s="215"/>
      <c r="AF1445" s="93"/>
      <c r="AG1445" s="93"/>
      <c r="AH1445" s="93"/>
      <c r="AI1445" s="93"/>
      <c r="AJ1445" s="93"/>
    </row>
    <row r="1446" spans="30:36" ht="18">
      <c r="AD1446" s="93"/>
      <c r="AE1446" s="214"/>
      <c r="AF1446" s="93"/>
      <c r="AG1446" s="93"/>
      <c r="AH1446" s="93"/>
      <c r="AI1446" s="93"/>
      <c r="AJ1446" s="93"/>
    </row>
    <row r="1447" spans="30:36" ht="18">
      <c r="AD1447" s="93"/>
      <c r="AE1447" s="214"/>
      <c r="AF1447" s="93"/>
      <c r="AG1447" s="93"/>
      <c r="AH1447" s="93"/>
      <c r="AI1447" s="93"/>
      <c r="AJ1447" s="93"/>
    </row>
    <row r="1448" spans="30:36" ht="18">
      <c r="AD1448" s="93"/>
      <c r="AE1448" s="215"/>
      <c r="AF1448" s="93"/>
      <c r="AG1448" s="93"/>
      <c r="AH1448" s="93"/>
      <c r="AI1448" s="93"/>
      <c r="AJ1448" s="93"/>
    </row>
    <row r="1449" spans="30:36" ht="18">
      <c r="AD1449" s="93"/>
      <c r="AE1449" s="214"/>
      <c r="AF1449" s="93"/>
      <c r="AG1449" s="93"/>
      <c r="AH1449" s="93"/>
      <c r="AI1449" s="93"/>
      <c r="AJ1449" s="93"/>
    </row>
    <row r="1450" spans="30:36" ht="18">
      <c r="AD1450" s="93"/>
      <c r="AE1450" s="214"/>
      <c r="AF1450" s="93"/>
      <c r="AG1450" s="93"/>
      <c r="AH1450" s="93"/>
      <c r="AI1450" s="93"/>
      <c r="AJ1450" s="93"/>
    </row>
    <row r="1451" spans="30:36" ht="18">
      <c r="AD1451" s="93"/>
      <c r="AE1451" s="215"/>
      <c r="AF1451" s="93"/>
      <c r="AG1451" s="93"/>
      <c r="AH1451" s="93"/>
      <c r="AI1451" s="93"/>
      <c r="AJ1451" s="93"/>
    </row>
    <row r="1452" spans="30:36" ht="18">
      <c r="AD1452" s="93"/>
      <c r="AE1452" s="214"/>
      <c r="AF1452" s="93"/>
      <c r="AG1452" s="93"/>
      <c r="AH1452" s="93"/>
      <c r="AI1452" s="93"/>
      <c r="AJ1452" s="93"/>
    </row>
    <row r="1453" spans="30:36" ht="18">
      <c r="AD1453" s="93"/>
      <c r="AE1453" s="214"/>
      <c r="AF1453" s="93"/>
      <c r="AG1453" s="93"/>
      <c r="AH1453" s="93"/>
      <c r="AI1453" s="93"/>
      <c r="AJ1453" s="93"/>
    </row>
    <row r="1454" spans="30:36" ht="18">
      <c r="AD1454" s="93"/>
      <c r="AE1454" s="215"/>
      <c r="AF1454" s="93"/>
      <c r="AG1454" s="93"/>
      <c r="AH1454" s="93"/>
      <c r="AI1454" s="93"/>
      <c r="AJ1454" s="93"/>
    </row>
    <row r="1455" spans="30:36" ht="18">
      <c r="AD1455" s="93"/>
      <c r="AE1455" s="214"/>
      <c r="AF1455" s="93"/>
      <c r="AG1455" s="93"/>
      <c r="AH1455" s="93"/>
      <c r="AI1455" s="93"/>
      <c r="AJ1455" s="93"/>
    </row>
    <row r="1456" spans="30:36" ht="18">
      <c r="AD1456" s="93"/>
      <c r="AE1456" s="214"/>
      <c r="AF1456" s="93"/>
      <c r="AG1456" s="93"/>
      <c r="AH1456" s="93"/>
      <c r="AI1456" s="93"/>
      <c r="AJ1456" s="93"/>
    </row>
    <row r="1457" spans="30:36" ht="18">
      <c r="AD1457" s="93"/>
      <c r="AE1457" s="214"/>
      <c r="AF1457" s="93"/>
      <c r="AG1457" s="93"/>
      <c r="AH1457" s="93"/>
      <c r="AI1457" s="93"/>
      <c r="AJ1457" s="93"/>
    </row>
    <row r="1458" spans="30:36" ht="18">
      <c r="AD1458" s="93"/>
      <c r="AE1458" s="214"/>
      <c r="AF1458" s="93"/>
      <c r="AG1458" s="93"/>
      <c r="AH1458" s="93"/>
      <c r="AI1458" s="93"/>
      <c r="AJ1458" s="93"/>
    </row>
    <row r="1459" spans="30:36" ht="18">
      <c r="AD1459" s="93"/>
      <c r="AE1459" s="215"/>
      <c r="AF1459" s="93"/>
      <c r="AG1459" s="93"/>
      <c r="AH1459" s="93"/>
      <c r="AI1459" s="93"/>
      <c r="AJ1459" s="93"/>
    </row>
    <row r="1460" spans="30:36" ht="18">
      <c r="AD1460" s="93"/>
      <c r="AE1460" s="214"/>
      <c r="AF1460" s="93"/>
      <c r="AG1460" s="93"/>
      <c r="AH1460" s="93"/>
      <c r="AI1460" s="93"/>
      <c r="AJ1460" s="93"/>
    </row>
    <row r="1461" spans="30:36" ht="18">
      <c r="AD1461" s="93"/>
      <c r="AE1461" s="214"/>
      <c r="AF1461" s="93"/>
      <c r="AG1461" s="93"/>
      <c r="AH1461" s="93"/>
      <c r="AI1461" s="93"/>
      <c r="AJ1461" s="93"/>
    </row>
    <row r="1462" spans="30:36" ht="18">
      <c r="AD1462" s="93"/>
      <c r="AE1462" s="214"/>
      <c r="AF1462" s="93"/>
      <c r="AG1462" s="93"/>
      <c r="AH1462" s="93"/>
      <c r="AI1462" s="93"/>
      <c r="AJ1462" s="93"/>
    </row>
    <row r="1463" spans="30:36" ht="18">
      <c r="AD1463" s="93"/>
      <c r="AE1463" s="214"/>
      <c r="AF1463" s="93"/>
      <c r="AG1463" s="93"/>
      <c r="AH1463" s="93"/>
      <c r="AI1463" s="93"/>
      <c r="AJ1463" s="93"/>
    </row>
    <row r="1464" spans="30:36" ht="18">
      <c r="AD1464" s="93"/>
      <c r="AE1464" s="214"/>
      <c r="AF1464" s="93"/>
      <c r="AG1464" s="93"/>
      <c r="AH1464" s="93"/>
      <c r="AI1464" s="93"/>
      <c r="AJ1464" s="93"/>
    </row>
    <row r="1465" spans="30:36" ht="18">
      <c r="AD1465" s="93"/>
      <c r="AE1465" s="214"/>
      <c r="AF1465" s="93"/>
      <c r="AG1465" s="93"/>
      <c r="AH1465" s="93"/>
      <c r="AI1465" s="93"/>
      <c r="AJ1465" s="93"/>
    </row>
    <row r="1466" spans="30:36" ht="18">
      <c r="AD1466" s="93"/>
      <c r="AE1466" s="214"/>
      <c r="AF1466" s="93"/>
      <c r="AG1466" s="93"/>
      <c r="AH1466" s="93"/>
      <c r="AI1466" s="93"/>
      <c r="AJ1466" s="93"/>
    </row>
    <row r="1467" spans="30:36" ht="18">
      <c r="AD1467" s="93"/>
      <c r="AE1467" s="214"/>
      <c r="AF1467" s="93"/>
      <c r="AG1467" s="93"/>
      <c r="AH1467" s="93"/>
      <c r="AI1467" s="93"/>
      <c r="AJ1467" s="93"/>
    </row>
    <row r="1468" spans="30:36" ht="18">
      <c r="AD1468" s="93"/>
      <c r="AE1468" s="214"/>
      <c r="AF1468" s="93"/>
      <c r="AG1468" s="93"/>
      <c r="AH1468" s="93"/>
      <c r="AI1468" s="93"/>
      <c r="AJ1468" s="93"/>
    </row>
    <row r="1469" spans="30:36" ht="18">
      <c r="AD1469" s="93"/>
      <c r="AE1469" s="214"/>
      <c r="AF1469" s="93"/>
      <c r="AG1469" s="93"/>
      <c r="AH1469" s="93"/>
      <c r="AI1469" s="93"/>
      <c r="AJ1469" s="93"/>
    </row>
    <row r="1470" spans="30:36" ht="18">
      <c r="AD1470" s="93"/>
      <c r="AE1470" s="214"/>
      <c r="AF1470" s="93"/>
      <c r="AG1470" s="93"/>
      <c r="AH1470" s="93"/>
      <c r="AI1470" s="93"/>
      <c r="AJ1470" s="93"/>
    </row>
    <row r="1471" spans="30:36" ht="18">
      <c r="AD1471" s="93"/>
      <c r="AE1471" s="214"/>
      <c r="AF1471" s="93"/>
      <c r="AG1471" s="93"/>
      <c r="AH1471" s="93"/>
      <c r="AI1471" s="93"/>
      <c r="AJ1471" s="93"/>
    </row>
    <row r="1472" spans="30:36" ht="18">
      <c r="AD1472" s="93"/>
      <c r="AE1472" s="214"/>
      <c r="AF1472" s="93"/>
      <c r="AG1472" s="93"/>
      <c r="AH1472" s="93"/>
      <c r="AI1472" s="93"/>
      <c r="AJ1472" s="93"/>
    </row>
    <row r="1473" spans="30:36" ht="18">
      <c r="AD1473" s="93"/>
      <c r="AE1473" s="214"/>
      <c r="AF1473" s="93"/>
      <c r="AG1473" s="93"/>
      <c r="AH1473" s="93"/>
      <c r="AI1473" s="93"/>
      <c r="AJ1473" s="93"/>
    </row>
    <row r="1474" spans="30:36" ht="18">
      <c r="AD1474" s="93"/>
      <c r="AE1474" s="214"/>
      <c r="AF1474" s="93"/>
      <c r="AG1474" s="93"/>
      <c r="AH1474" s="93"/>
      <c r="AI1474" s="93"/>
      <c r="AJ1474" s="93"/>
    </row>
    <row r="1475" spans="30:36" ht="18">
      <c r="AD1475" s="93"/>
      <c r="AE1475" s="214"/>
      <c r="AF1475" s="93"/>
      <c r="AG1475" s="93"/>
      <c r="AH1475" s="93"/>
      <c r="AI1475" s="93"/>
      <c r="AJ1475" s="93"/>
    </row>
    <row r="1476" spans="30:36" ht="18">
      <c r="AD1476" s="93"/>
      <c r="AE1476" s="214"/>
      <c r="AF1476" s="93"/>
      <c r="AG1476" s="93"/>
      <c r="AH1476" s="93"/>
      <c r="AI1476" s="93"/>
      <c r="AJ1476" s="93"/>
    </row>
    <row r="1477" spans="30:36" ht="18">
      <c r="AD1477" s="93"/>
      <c r="AE1477" s="214"/>
      <c r="AF1477" s="93"/>
      <c r="AG1477" s="93"/>
      <c r="AH1477" s="93"/>
      <c r="AI1477" s="93"/>
      <c r="AJ1477" s="93"/>
    </row>
    <row r="1478" spans="30:36" ht="18">
      <c r="AD1478" s="93"/>
      <c r="AE1478" s="214"/>
      <c r="AF1478" s="93"/>
      <c r="AG1478" s="93"/>
      <c r="AH1478" s="93"/>
      <c r="AI1478" s="93"/>
      <c r="AJ1478" s="93"/>
    </row>
    <row r="1479" spans="30:36" ht="18">
      <c r="AD1479" s="93"/>
      <c r="AE1479" s="215"/>
      <c r="AF1479" s="93"/>
      <c r="AG1479" s="93"/>
      <c r="AH1479" s="93"/>
      <c r="AI1479" s="93"/>
      <c r="AJ1479" s="93"/>
    </row>
    <row r="1480" spans="30:36" ht="18">
      <c r="AD1480" s="93"/>
      <c r="AE1480" s="215"/>
      <c r="AF1480" s="93"/>
      <c r="AG1480" s="93"/>
      <c r="AH1480" s="93"/>
      <c r="AI1480" s="93"/>
      <c r="AJ1480" s="93"/>
    </row>
    <row r="1481" spans="30:36" ht="18">
      <c r="AD1481" s="93"/>
      <c r="AE1481" s="214"/>
      <c r="AF1481" s="93"/>
      <c r="AG1481" s="93"/>
      <c r="AH1481" s="93"/>
      <c r="AI1481" s="93"/>
      <c r="AJ1481" s="93"/>
    </row>
    <row r="1482" spans="30:36" ht="18">
      <c r="AD1482" s="93"/>
      <c r="AE1482" s="214"/>
      <c r="AF1482" s="93"/>
      <c r="AG1482" s="93"/>
      <c r="AH1482" s="93"/>
      <c r="AI1482" s="93"/>
      <c r="AJ1482" s="93"/>
    </row>
    <row r="1483" spans="30:36" ht="18">
      <c r="AD1483" s="93"/>
      <c r="AE1483" s="214"/>
      <c r="AF1483" s="93"/>
      <c r="AG1483" s="93"/>
      <c r="AH1483" s="93"/>
      <c r="AI1483" s="93"/>
      <c r="AJ1483" s="93"/>
    </row>
    <row r="1484" spans="30:36" ht="18">
      <c r="AD1484" s="93"/>
      <c r="AE1484" s="214"/>
      <c r="AF1484" s="93"/>
      <c r="AG1484" s="93"/>
      <c r="AH1484" s="93"/>
      <c r="AI1484" s="93"/>
      <c r="AJ1484" s="93"/>
    </row>
    <row r="1485" spans="30:36" ht="18">
      <c r="AD1485" s="93"/>
      <c r="AE1485" s="214"/>
      <c r="AF1485" s="93"/>
      <c r="AG1485" s="93"/>
      <c r="AH1485" s="93"/>
      <c r="AI1485" s="93"/>
      <c r="AJ1485" s="93"/>
    </row>
    <row r="1486" spans="30:36" ht="18">
      <c r="AD1486" s="93"/>
      <c r="AE1486" s="214"/>
      <c r="AF1486" s="93"/>
      <c r="AG1486" s="93"/>
      <c r="AH1486" s="93"/>
      <c r="AI1486" s="93"/>
      <c r="AJ1486" s="93"/>
    </row>
    <row r="1487" spans="30:36" ht="18">
      <c r="AD1487" s="93"/>
      <c r="AE1487" s="214"/>
      <c r="AF1487" s="93"/>
      <c r="AG1487" s="93"/>
      <c r="AH1487" s="93"/>
      <c r="AI1487" s="93"/>
      <c r="AJ1487" s="93"/>
    </row>
    <row r="1488" spans="30:36" ht="18">
      <c r="AD1488" s="93"/>
      <c r="AE1488" s="214"/>
      <c r="AF1488" s="93"/>
      <c r="AG1488" s="93"/>
      <c r="AH1488" s="93"/>
      <c r="AI1488" s="93"/>
      <c r="AJ1488" s="93"/>
    </row>
    <row r="1489" spans="30:36" ht="18">
      <c r="AD1489" s="93"/>
      <c r="AE1489" s="214"/>
      <c r="AF1489" s="93"/>
      <c r="AG1489" s="93"/>
      <c r="AH1489" s="93"/>
      <c r="AI1489" s="93"/>
      <c r="AJ1489" s="93"/>
    </row>
    <row r="1490" spans="30:36" ht="18">
      <c r="AD1490" s="93"/>
      <c r="AE1490" s="215"/>
      <c r="AF1490" s="93"/>
      <c r="AG1490" s="93"/>
      <c r="AH1490" s="93"/>
      <c r="AI1490" s="93"/>
      <c r="AJ1490" s="93"/>
    </row>
    <row r="1491" spans="30:36" ht="18">
      <c r="AD1491" s="93"/>
      <c r="AE1491" s="215"/>
      <c r="AF1491" s="93"/>
      <c r="AG1491" s="93"/>
      <c r="AH1491" s="93"/>
      <c r="AI1491" s="93"/>
      <c r="AJ1491" s="93"/>
    </row>
    <row r="1492" spans="30:36" ht="18">
      <c r="AD1492" s="93"/>
      <c r="AE1492" s="214"/>
      <c r="AF1492" s="93"/>
      <c r="AG1492" s="93"/>
      <c r="AH1492" s="93"/>
      <c r="AI1492" s="93"/>
      <c r="AJ1492" s="93"/>
    </row>
    <row r="1493" spans="30:36" ht="18">
      <c r="AD1493" s="93"/>
      <c r="AE1493" s="214"/>
      <c r="AF1493" s="93"/>
      <c r="AG1493" s="93"/>
      <c r="AH1493" s="93"/>
      <c r="AI1493" s="93"/>
      <c r="AJ1493" s="93"/>
    </row>
    <row r="1494" spans="30:36" ht="18">
      <c r="AD1494" s="93"/>
      <c r="AE1494" s="214"/>
      <c r="AF1494" s="93"/>
      <c r="AG1494" s="93"/>
      <c r="AH1494" s="93"/>
      <c r="AI1494" s="93"/>
      <c r="AJ1494" s="93"/>
    </row>
    <row r="1495" spans="30:36" ht="18">
      <c r="AD1495" s="93"/>
      <c r="AE1495" s="215"/>
      <c r="AF1495" s="93"/>
      <c r="AG1495" s="93"/>
      <c r="AH1495" s="93"/>
      <c r="AI1495" s="93"/>
      <c r="AJ1495" s="93"/>
    </row>
    <row r="1496" spans="30:36" ht="18">
      <c r="AD1496" s="93"/>
      <c r="AE1496" s="214"/>
      <c r="AF1496" s="93"/>
      <c r="AG1496" s="93"/>
      <c r="AH1496" s="93"/>
      <c r="AI1496" s="93"/>
      <c r="AJ1496" s="93"/>
    </row>
    <row r="1497" spans="30:36" ht="18">
      <c r="AD1497" s="93"/>
      <c r="AE1497" s="214"/>
      <c r="AF1497" s="93"/>
      <c r="AG1497" s="93"/>
      <c r="AH1497" s="93"/>
      <c r="AI1497" s="93"/>
      <c r="AJ1497" s="93"/>
    </row>
    <row r="1498" spans="30:36" ht="18">
      <c r="AD1498" s="93"/>
      <c r="AE1498" s="214"/>
      <c r="AF1498" s="93"/>
      <c r="AG1498" s="93"/>
      <c r="AH1498" s="93"/>
      <c r="AI1498" s="93"/>
      <c r="AJ1498" s="93"/>
    </row>
    <row r="1499" spans="30:36" ht="18">
      <c r="AD1499" s="93"/>
      <c r="AE1499" s="215"/>
      <c r="AF1499" s="93"/>
      <c r="AG1499" s="93"/>
      <c r="AH1499" s="93"/>
      <c r="AI1499" s="93"/>
      <c r="AJ1499" s="93"/>
    </row>
    <row r="1500" spans="30:36" ht="18">
      <c r="AD1500" s="93"/>
      <c r="AE1500" s="215"/>
      <c r="AF1500" s="93"/>
      <c r="AG1500" s="93"/>
      <c r="AH1500" s="93"/>
      <c r="AI1500" s="93"/>
      <c r="AJ1500" s="93"/>
    </row>
    <row r="1501" spans="30:36" ht="18">
      <c r="AD1501" s="93"/>
      <c r="AE1501" s="214"/>
      <c r="AF1501" s="93"/>
      <c r="AG1501" s="93"/>
      <c r="AH1501" s="93"/>
      <c r="AI1501" s="93"/>
      <c r="AJ1501" s="93"/>
    </row>
    <row r="1502" spans="30:36" ht="18">
      <c r="AD1502" s="93"/>
      <c r="AE1502" s="214"/>
      <c r="AF1502" s="93"/>
      <c r="AG1502" s="93"/>
      <c r="AH1502" s="93"/>
      <c r="AI1502" s="93"/>
      <c r="AJ1502" s="93"/>
    </row>
    <row r="1503" spans="30:36" ht="18">
      <c r="AD1503" s="93"/>
      <c r="AE1503" s="214"/>
      <c r="AF1503" s="93"/>
      <c r="AG1503" s="93"/>
      <c r="AH1503" s="93"/>
      <c r="AI1503" s="93"/>
      <c r="AJ1503" s="93"/>
    </row>
    <row r="1504" spans="30:36" ht="18">
      <c r="AD1504" s="93"/>
      <c r="AE1504" s="214"/>
      <c r="AF1504" s="93"/>
      <c r="AG1504" s="93"/>
      <c r="AH1504" s="93"/>
      <c r="AI1504" s="93"/>
      <c r="AJ1504" s="93"/>
    </row>
    <row r="1505" spans="30:36" ht="18">
      <c r="AD1505" s="93"/>
      <c r="AE1505" s="214"/>
      <c r="AF1505" s="93"/>
      <c r="AG1505" s="93"/>
      <c r="AH1505" s="93"/>
      <c r="AI1505" s="93"/>
      <c r="AJ1505" s="93"/>
    </row>
    <row r="1506" spans="30:36" ht="18">
      <c r="AD1506" s="93"/>
      <c r="AE1506" s="214"/>
      <c r="AF1506" s="93"/>
      <c r="AG1506" s="93"/>
      <c r="AH1506" s="93"/>
      <c r="AI1506" s="93"/>
      <c r="AJ1506" s="93"/>
    </row>
    <row r="1507" spans="30:36" ht="18">
      <c r="AD1507" s="93"/>
      <c r="AE1507" s="214"/>
      <c r="AF1507" s="93"/>
      <c r="AG1507" s="93"/>
      <c r="AH1507" s="93"/>
      <c r="AI1507" s="93"/>
      <c r="AJ1507" s="93"/>
    </row>
    <row r="1508" spans="30:36" ht="18">
      <c r="AD1508" s="93"/>
      <c r="AE1508" s="214"/>
      <c r="AF1508" s="93"/>
      <c r="AG1508" s="93"/>
      <c r="AH1508" s="93"/>
      <c r="AI1508" s="93"/>
      <c r="AJ1508" s="93"/>
    </row>
    <row r="1509" spans="30:36" ht="18">
      <c r="AD1509" s="93"/>
      <c r="AE1509" s="214"/>
      <c r="AF1509" s="93"/>
      <c r="AG1509" s="93"/>
      <c r="AH1509" s="93"/>
      <c r="AI1509" s="93"/>
      <c r="AJ1509" s="93"/>
    </row>
    <row r="1510" spans="30:36" ht="18">
      <c r="AD1510" s="93"/>
      <c r="AE1510" s="214"/>
      <c r="AF1510" s="93"/>
      <c r="AG1510" s="93"/>
      <c r="AH1510" s="93"/>
      <c r="AI1510" s="93"/>
      <c r="AJ1510" s="93"/>
    </row>
    <row r="1511" spans="30:36" ht="18">
      <c r="AD1511" s="93"/>
      <c r="AE1511" s="214"/>
      <c r="AF1511" s="93"/>
      <c r="AG1511" s="93"/>
      <c r="AH1511" s="93"/>
      <c r="AI1511" s="93"/>
      <c r="AJ1511" s="93"/>
    </row>
    <row r="1512" spans="30:36" ht="18">
      <c r="AD1512" s="93"/>
      <c r="AE1512" s="214"/>
      <c r="AF1512" s="93"/>
      <c r="AG1512" s="93"/>
      <c r="AH1512" s="93"/>
      <c r="AI1512" s="93"/>
      <c r="AJ1512" s="93"/>
    </row>
    <row r="1513" spans="30:36" ht="18">
      <c r="AD1513" s="93"/>
      <c r="AE1513" s="214"/>
      <c r="AF1513" s="93"/>
      <c r="AG1513" s="93"/>
      <c r="AH1513" s="93"/>
      <c r="AI1513" s="93"/>
      <c r="AJ1513" s="93"/>
    </row>
    <row r="1514" spans="30:36" ht="18">
      <c r="AD1514" s="93"/>
      <c r="AE1514" s="214"/>
      <c r="AF1514" s="93"/>
      <c r="AG1514" s="93"/>
      <c r="AH1514" s="93"/>
      <c r="AI1514" s="93"/>
      <c r="AJ1514" s="93"/>
    </row>
    <row r="1515" spans="30:36" ht="18">
      <c r="AD1515" s="93"/>
      <c r="AE1515" s="214"/>
      <c r="AF1515" s="93"/>
      <c r="AG1515" s="93"/>
      <c r="AH1515" s="93"/>
      <c r="AI1515" s="93"/>
      <c r="AJ1515" s="93"/>
    </row>
    <row r="1516" spans="30:36" ht="18">
      <c r="AD1516" s="93"/>
      <c r="AE1516" s="214"/>
      <c r="AF1516" s="93"/>
      <c r="AG1516" s="93"/>
      <c r="AH1516" s="93"/>
      <c r="AI1516" s="93"/>
      <c r="AJ1516" s="93"/>
    </row>
    <row r="1517" spans="30:36" ht="18">
      <c r="AD1517" s="93"/>
      <c r="AE1517" s="214"/>
      <c r="AF1517" s="93"/>
      <c r="AG1517" s="93"/>
      <c r="AH1517" s="93"/>
      <c r="AI1517" s="93"/>
      <c r="AJ1517" s="93"/>
    </row>
    <row r="1518" spans="30:36" ht="18">
      <c r="AD1518" s="93"/>
      <c r="AE1518" s="215"/>
      <c r="AF1518" s="93"/>
      <c r="AG1518" s="93"/>
      <c r="AH1518" s="93"/>
      <c r="AI1518" s="93"/>
      <c r="AJ1518" s="93"/>
    </row>
    <row r="1519" spans="30:36" ht="18">
      <c r="AD1519" s="93"/>
      <c r="AE1519" s="214"/>
      <c r="AF1519" s="93"/>
      <c r="AG1519" s="93"/>
      <c r="AH1519" s="93"/>
      <c r="AI1519" s="93"/>
      <c r="AJ1519" s="93"/>
    </row>
    <row r="1520" spans="30:36" ht="18">
      <c r="AD1520" s="93"/>
      <c r="AE1520" s="214"/>
      <c r="AF1520" s="93"/>
      <c r="AG1520" s="93"/>
      <c r="AH1520" s="93"/>
      <c r="AI1520" s="93"/>
      <c r="AJ1520" s="93"/>
    </row>
    <row r="1521" spans="30:36" ht="18">
      <c r="AD1521" s="93"/>
      <c r="AE1521" s="214"/>
      <c r="AF1521" s="93"/>
      <c r="AG1521" s="93"/>
      <c r="AH1521" s="93"/>
      <c r="AI1521" s="93"/>
      <c r="AJ1521" s="93"/>
    </row>
    <row r="1522" spans="30:36" ht="18">
      <c r="AD1522" s="93"/>
      <c r="AE1522" s="214"/>
      <c r="AF1522" s="93"/>
      <c r="AG1522" s="93"/>
      <c r="AH1522" s="93"/>
      <c r="AI1522" s="93"/>
      <c r="AJ1522" s="93"/>
    </row>
    <row r="1523" spans="30:36" ht="18">
      <c r="AD1523" s="93"/>
      <c r="AE1523" s="215"/>
      <c r="AF1523" s="93"/>
      <c r="AG1523" s="93"/>
      <c r="AH1523" s="93"/>
      <c r="AI1523" s="93"/>
      <c r="AJ1523" s="93"/>
    </row>
    <row r="1524" spans="30:36" ht="18">
      <c r="AD1524" s="93"/>
      <c r="AE1524" s="215"/>
      <c r="AF1524" s="93"/>
      <c r="AG1524" s="93"/>
      <c r="AH1524" s="93"/>
      <c r="AI1524" s="93"/>
      <c r="AJ1524" s="93"/>
    </row>
    <row r="1525" spans="30:36" ht="18">
      <c r="AD1525" s="93"/>
      <c r="AE1525" s="214"/>
      <c r="AF1525" s="93"/>
      <c r="AG1525" s="93"/>
      <c r="AH1525" s="93"/>
      <c r="AI1525" s="93"/>
      <c r="AJ1525" s="93"/>
    </row>
    <row r="1526" spans="30:36" ht="18">
      <c r="AD1526" s="93"/>
      <c r="AE1526" s="214"/>
      <c r="AF1526" s="93"/>
      <c r="AG1526" s="93"/>
      <c r="AH1526" s="93"/>
      <c r="AI1526" s="93"/>
      <c r="AJ1526" s="93"/>
    </row>
    <row r="1527" spans="30:36" ht="18">
      <c r="AD1527" s="93"/>
      <c r="AE1527" s="214"/>
      <c r="AF1527" s="93"/>
      <c r="AG1527" s="93"/>
      <c r="AH1527" s="93"/>
      <c r="AI1527" s="93"/>
      <c r="AJ1527" s="93"/>
    </row>
    <row r="1528" spans="30:36" ht="18">
      <c r="AD1528" s="93"/>
      <c r="AE1528" s="214"/>
      <c r="AF1528" s="93"/>
      <c r="AG1528" s="93"/>
      <c r="AH1528" s="93"/>
      <c r="AI1528" s="93"/>
      <c r="AJ1528" s="93"/>
    </row>
    <row r="1529" spans="30:36" ht="18">
      <c r="AD1529" s="93"/>
      <c r="AE1529" s="214"/>
      <c r="AF1529" s="93"/>
      <c r="AG1529" s="93"/>
      <c r="AH1529" s="93"/>
      <c r="AI1529" s="93"/>
      <c r="AJ1529" s="93"/>
    </row>
    <row r="1530" spans="30:36" ht="18">
      <c r="AD1530" s="93"/>
      <c r="AE1530" s="214"/>
      <c r="AF1530" s="93"/>
      <c r="AG1530" s="93"/>
      <c r="AH1530" s="93"/>
      <c r="AI1530" s="93"/>
      <c r="AJ1530" s="93"/>
    </row>
    <row r="1531" spans="30:36" ht="18">
      <c r="AD1531" s="93"/>
      <c r="AE1531" s="214"/>
      <c r="AF1531" s="93"/>
      <c r="AG1531" s="93"/>
      <c r="AH1531" s="93"/>
      <c r="AI1531" s="93"/>
      <c r="AJ1531" s="93"/>
    </row>
    <row r="1532" spans="30:36" ht="18">
      <c r="AD1532" s="93"/>
      <c r="AE1532" s="214"/>
      <c r="AF1532" s="93"/>
      <c r="AG1532" s="93"/>
      <c r="AH1532" s="93"/>
      <c r="AI1532" s="93"/>
      <c r="AJ1532" s="93"/>
    </row>
    <row r="1533" spans="30:36" ht="18">
      <c r="AD1533" s="93"/>
      <c r="AE1533" s="215"/>
      <c r="AF1533" s="93"/>
      <c r="AG1533" s="93"/>
      <c r="AH1533" s="93"/>
      <c r="AI1533" s="93"/>
      <c r="AJ1533" s="93"/>
    </row>
    <row r="1534" spans="30:36" ht="18">
      <c r="AD1534" s="93"/>
      <c r="AE1534" s="214"/>
      <c r="AF1534" s="93"/>
      <c r="AG1534" s="93"/>
      <c r="AH1534" s="93"/>
      <c r="AI1534" s="93"/>
      <c r="AJ1534" s="93"/>
    </row>
    <row r="1535" spans="30:36" ht="18">
      <c r="AD1535" s="93"/>
      <c r="AE1535" s="214"/>
      <c r="AF1535" s="93"/>
      <c r="AG1535" s="93"/>
      <c r="AH1535" s="93"/>
      <c r="AI1535" s="93"/>
      <c r="AJ1535" s="93"/>
    </row>
    <row r="1536" spans="30:36" ht="18">
      <c r="AD1536" s="93"/>
      <c r="AE1536" s="214"/>
      <c r="AF1536" s="93"/>
      <c r="AG1536" s="93"/>
      <c r="AH1536" s="93"/>
      <c r="AI1536" s="93"/>
      <c r="AJ1536" s="93"/>
    </row>
    <row r="1537" spans="30:36" ht="18">
      <c r="AD1537" s="93"/>
      <c r="AE1537" s="214"/>
      <c r="AF1537" s="93"/>
      <c r="AG1537" s="93"/>
      <c r="AH1537" s="93"/>
      <c r="AI1537" s="93"/>
      <c r="AJ1537" s="93"/>
    </row>
    <row r="1538" spans="30:36" ht="18">
      <c r="AD1538" s="93"/>
      <c r="AE1538" s="214"/>
      <c r="AF1538" s="93"/>
      <c r="AG1538" s="93"/>
      <c r="AH1538" s="93"/>
      <c r="AI1538" s="93"/>
      <c r="AJ1538" s="93"/>
    </row>
    <row r="1539" spans="30:36" ht="18">
      <c r="AD1539" s="93"/>
      <c r="AE1539" s="214"/>
      <c r="AF1539" s="93"/>
      <c r="AG1539" s="93"/>
      <c r="AH1539" s="93"/>
      <c r="AI1539" s="93"/>
      <c r="AJ1539" s="93"/>
    </row>
    <row r="1540" spans="30:36" ht="18">
      <c r="AD1540" s="93"/>
      <c r="AE1540" s="214"/>
      <c r="AF1540" s="93"/>
      <c r="AG1540" s="93"/>
      <c r="AH1540" s="93"/>
      <c r="AI1540" s="93"/>
      <c r="AJ1540" s="93"/>
    </row>
    <row r="1541" spans="30:36" ht="18">
      <c r="AD1541" s="93"/>
      <c r="AE1541" s="214"/>
      <c r="AF1541" s="93"/>
      <c r="AG1541" s="93"/>
      <c r="AH1541" s="93"/>
      <c r="AI1541" s="93"/>
      <c r="AJ1541" s="93"/>
    </row>
    <row r="1542" spans="30:36" ht="18">
      <c r="AD1542" s="93"/>
      <c r="AE1542" s="214"/>
      <c r="AF1542" s="93"/>
      <c r="AG1542" s="93"/>
      <c r="AH1542" s="93"/>
      <c r="AI1542" s="93"/>
      <c r="AJ1542" s="93"/>
    </row>
    <row r="1543" spans="30:36" ht="18">
      <c r="AD1543" s="93"/>
      <c r="AE1543" s="214"/>
      <c r="AF1543" s="93"/>
      <c r="AG1543" s="93"/>
      <c r="AH1543" s="93"/>
      <c r="AI1543" s="93"/>
      <c r="AJ1543" s="93"/>
    </row>
    <row r="1544" spans="30:36" ht="18">
      <c r="AD1544" s="93"/>
      <c r="AE1544" s="214"/>
      <c r="AF1544" s="93"/>
      <c r="AG1544" s="93"/>
      <c r="AH1544" s="93"/>
      <c r="AI1544" s="93"/>
      <c r="AJ1544" s="93"/>
    </row>
    <row r="1545" spans="30:36" ht="18">
      <c r="AD1545" s="93"/>
      <c r="AE1545" s="215"/>
      <c r="AF1545" s="93"/>
      <c r="AG1545" s="93"/>
      <c r="AH1545" s="93"/>
      <c r="AI1545" s="93"/>
      <c r="AJ1545" s="93"/>
    </row>
    <row r="1546" spans="30:36" ht="18">
      <c r="AD1546" s="93"/>
      <c r="AE1546" s="215"/>
      <c r="AF1546" s="93"/>
      <c r="AG1546" s="93"/>
      <c r="AH1546" s="93"/>
      <c r="AI1546" s="93"/>
      <c r="AJ1546" s="93"/>
    </row>
    <row r="1547" spans="30:36" ht="18">
      <c r="AD1547" s="93"/>
      <c r="AE1547" s="214"/>
      <c r="AF1547" s="93"/>
      <c r="AG1547" s="93"/>
      <c r="AH1547" s="93"/>
      <c r="AI1547" s="93"/>
      <c r="AJ1547" s="93"/>
    </row>
    <row r="1548" spans="30:36" ht="18">
      <c r="AD1548" s="93"/>
      <c r="AE1548" s="214"/>
      <c r="AF1548" s="93"/>
      <c r="AG1548" s="93"/>
      <c r="AH1548" s="93"/>
      <c r="AI1548" s="93"/>
      <c r="AJ1548" s="93"/>
    </row>
    <row r="1549" spans="30:36" ht="18">
      <c r="AD1549" s="93"/>
      <c r="AE1549" s="214"/>
      <c r="AF1549" s="93"/>
      <c r="AG1549" s="93"/>
      <c r="AH1549" s="93"/>
      <c r="AI1549" s="93"/>
      <c r="AJ1549" s="93"/>
    </row>
    <row r="1550" spans="30:36" ht="18">
      <c r="AD1550" s="93"/>
      <c r="AE1550" s="215"/>
      <c r="AF1550" s="93"/>
      <c r="AG1550" s="93"/>
      <c r="AH1550" s="93"/>
      <c r="AI1550" s="93"/>
      <c r="AJ1550" s="93"/>
    </row>
    <row r="1551" spans="30:36" ht="18">
      <c r="AD1551" s="93"/>
      <c r="AE1551" s="215"/>
      <c r="AF1551" s="93"/>
      <c r="AG1551" s="93"/>
      <c r="AH1551" s="93"/>
      <c r="AI1551" s="93"/>
      <c r="AJ1551" s="93"/>
    </row>
    <row r="1552" spans="30:36" ht="18">
      <c r="AD1552" s="93"/>
      <c r="AE1552" s="214"/>
      <c r="AF1552" s="93"/>
      <c r="AG1552" s="93"/>
      <c r="AH1552" s="93"/>
      <c r="AI1552" s="93"/>
      <c r="AJ1552" s="93"/>
    </row>
    <row r="1553" spans="30:36" ht="18">
      <c r="AD1553" s="93"/>
      <c r="AE1553" s="214"/>
      <c r="AF1553" s="93"/>
      <c r="AG1553" s="93"/>
      <c r="AH1553" s="93"/>
      <c r="AI1553" s="93"/>
      <c r="AJ1553" s="93"/>
    </row>
    <row r="1554" spans="30:36" ht="18">
      <c r="AD1554" s="93"/>
      <c r="AE1554" s="214"/>
      <c r="AF1554" s="93"/>
      <c r="AG1554" s="93"/>
      <c r="AH1554" s="93"/>
      <c r="AI1554" s="93"/>
      <c r="AJ1554" s="93"/>
    </row>
    <row r="1555" spans="30:36" ht="18">
      <c r="AD1555" s="93"/>
      <c r="AE1555" s="214"/>
      <c r="AF1555" s="93"/>
      <c r="AG1555" s="93"/>
      <c r="AH1555" s="93"/>
      <c r="AI1555" s="93"/>
      <c r="AJ1555" s="93"/>
    </row>
    <row r="1556" spans="30:36" ht="18">
      <c r="AD1556" s="93"/>
      <c r="AE1556" s="214"/>
      <c r="AF1556" s="93"/>
      <c r="AG1556" s="93"/>
      <c r="AH1556" s="93"/>
      <c r="AI1556" s="93"/>
      <c r="AJ1556" s="93"/>
    </row>
    <row r="1557" spans="30:36" ht="18">
      <c r="AD1557" s="93"/>
      <c r="AE1557" s="214"/>
      <c r="AF1557" s="93"/>
      <c r="AG1557" s="93"/>
      <c r="AH1557" s="93"/>
      <c r="AI1557" s="93"/>
      <c r="AJ1557" s="93"/>
    </row>
    <row r="1558" spans="30:36" ht="18">
      <c r="AD1558" s="93"/>
      <c r="AE1558" s="215"/>
      <c r="AF1558" s="93"/>
      <c r="AG1558" s="93"/>
      <c r="AH1558" s="93"/>
      <c r="AI1558" s="93"/>
      <c r="AJ1558" s="93"/>
    </row>
    <row r="1559" spans="30:36" ht="18">
      <c r="AD1559" s="93"/>
      <c r="AE1559" s="215"/>
      <c r="AF1559" s="93"/>
      <c r="AG1559" s="93"/>
      <c r="AH1559" s="93"/>
      <c r="AI1559" s="93"/>
      <c r="AJ1559" s="93"/>
    </row>
    <row r="1560" spans="30:36" ht="18">
      <c r="AD1560" s="93"/>
      <c r="AE1560" s="214"/>
      <c r="AF1560" s="93"/>
      <c r="AG1560" s="93"/>
      <c r="AH1560" s="93"/>
      <c r="AI1560" s="93"/>
      <c r="AJ1560" s="93"/>
    </row>
    <row r="1561" spans="30:36" ht="18">
      <c r="AD1561" s="93"/>
      <c r="AE1561" s="214"/>
      <c r="AF1561" s="93"/>
      <c r="AG1561" s="93"/>
      <c r="AH1561" s="93"/>
      <c r="AI1561" s="93"/>
      <c r="AJ1561" s="93"/>
    </row>
    <row r="1562" spans="30:36" ht="18">
      <c r="AD1562" s="93"/>
      <c r="AE1562" s="214"/>
      <c r="AF1562" s="93"/>
      <c r="AG1562" s="93"/>
      <c r="AH1562" s="93"/>
      <c r="AI1562" s="93"/>
      <c r="AJ1562" s="93"/>
    </row>
    <row r="1563" spans="30:36" ht="18">
      <c r="AD1563" s="93"/>
      <c r="AE1563" s="214"/>
      <c r="AF1563" s="93"/>
      <c r="AG1563" s="93"/>
      <c r="AH1563" s="93"/>
      <c r="AI1563" s="93"/>
      <c r="AJ1563" s="93"/>
    </row>
    <row r="1564" spans="30:36" ht="18">
      <c r="AD1564" s="93"/>
      <c r="AE1564" s="214"/>
      <c r="AF1564" s="93"/>
      <c r="AG1564" s="93"/>
      <c r="AH1564" s="93"/>
      <c r="AI1564" s="93"/>
      <c r="AJ1564" s="93"/>
    </row>
    <row r="1565" spans="30:36" ht="18">
      <c r="AD1565" s="93"/>
      <c r="AE1565" s="214"/>
      <c r="AF1565" s="93"/>
      <c r="AG1565" s="93"/>
      <c r="AH1565" s="93"/>
      <c r="AI1565" s="93"/>
      <c r="AJ1565" s="93"/>
    </row>
    <row r="1566" spans="30:36" ht="18">
      <c r="AD1566" s="93"/>
      <c r="AE1566" s="214"/>
      <c r="AF1566" s="93"/>
      <c r="AG1566" s="93"/>
      <c r="AH1566" s="93"/>
      <c r="AI1566" s="93"/>
      <c r="AJ1566" s="93"/>
    </row>
    <row r="1567" spans="30:36" ht="18">
      <c r="AD1567" s="93"/>
      <c r="AE1567" s="215"/>
      <c r="AF1567" s="93"/>
      <c r="AG1567" s="93"/>
      <c r="AH1567" s="93"/>
      <c r="AI1567" s="93"/>
      <c r="AJ1567" s="93"/>
    </row>
    <row r="1568" spans="30:36" ht="18">
      <c r="AD1568" s="93"/>
      <c r="AE1568" s="215"/>
      <c r="AF1568" s="93"/>
      <c r="AG1568" s="93"/>
      <c r="AH1568" s="93"/>
      <c r="AI1568" s="93"/>
      <c r="AJ1568" s="93"/>
    </row>
    <row r="1569" spans="30:36" ht="18">
      <c r="AD1569" s="93"/>
      <c r="AE1569" s="214"/>
      <c r="AF1569" s="93"/>
      <c r="AG1569" s="93"/>
      <c r="AH1569" s="93"/>
      <c r="AI1569" s="93"/>
      <c r="AJ1569" s="93"/>
    </row>
    <row r="1570" spans="30:36" ht="18">
      <c r="AD1570" s="93"/>
      <c r="AE1570" s="214"/>
      <c r="AF1570" s="93"/>
      <c r="AG1570" s="93"/>
      <c r="AH1570" s="93"/>
      <c r="AI1570" s="93"/>
      <c r="AJ1570" s="93"/>
    </row>
    <row r="1571" spans="30:36" ht="18">
      <c r="AD1571" s="93"/>
      <c r="AE1571" s="214"/>
      <c r="AF1571" s="93"/>
      <c r="AG1571" s="93"/>
      <c r="AH1571" s="93"/>
      <c r="AI1571" s="93"/>
      <c r="AJ1571" s="93"/>
    </row>
    <row r="1572" spans="30:36" ht="18">
      <c r="AD1572" s="93"/>
      <c r="AE1572" s="214"/>
      <c r="AF1572" s="93"/>
      <c r="AG1572" s="93"/>
      <c r="AH1572" s="93"/>
      <c r="AI1572" s="93"/>
      <c r="AJ1572" s="93"/>
    </row>
    <row r="1573" spans="30:36" ht="18">
      <c r="AD1573" s="93"/>
      <c r="AE1573" s="214"/>
      <c r="AF1573" s="93"/>
      <c r="AG1573" s="93"/>
      <c r="AH1573" s="93"/>
      <c r="AI1573" s="93"/>
      <c r="AJ1573" s="93"/>
    </row>
    <row r="1574" spans="30:36" ht="18">
      <c r="AD1574" s="93"/>
      <c r="AE1574" s="214"/>
      <c r="AF1574" s="93"/>
      <c r="AG1574" s="93"/>
      <c r="AH1574" s="93"/>
      <c r="AI1574" s="93"/>
      <c r="AJ1574" s="93"/>
    </row>
    <row r="1575" spans="30:36" ht="18">
      <c r="AD1575" s="93"/>
      <c r="AE1575" s="214"/>
      <c r="AF1575" s="93"/>
      <c r="AG1575" s="93"/>
      <c r="AH1575" s="93"/>
      <c r="AI1575" s="93"/>
      <c r="AJ1575" s="93"/>
    </row>
    <row r="1576" spans="30:36" ht="18">
      <c r="AD1576" s="93"/>
      <c r="AE1576" s="214"/>
      <c r="AF1576" s="93"/>
      <c r="AG1576" s="93"/>
      <c r="AH1576" s="93"/>
      <c r="AI1576" s="93"/>
      <c r="AJ1576" s="93"/>
    </row>
    <row r="1577" spans="30:36" ht="18">
      <c r="AD1577" s="93"/>
      <c r="AE1577" s="214"/>
      <c r="AF1577" s="93"/>
      <c r="AG1577" s="93"/>
      <c r="AH1577" s="93"/>
      <c r="AI1577" s="93"/>
      <c r="AJ1577" s="93"/>
    </row>
    <row r="1578" spans="30:36" ht="18">
      <c r="AD1578" s="93"/>
      <c r="AE1578" s="214"/>
      <c r="AF1578" s="93"/>
      <c r="AG1578" s="93"/>
      <c r="AH1578" s="93"/>
      <c r="AI1578" s="93"/>
      <c r="AJ1578" s="93"/>
    </row>
    <row r="1579" spans="30:36" ht="18">
      <c r="AD1579" s="93"/>
      <c r="AE1579" s="214"/>
      <c r="AF1579" s="93"/>
      <c r="AG1579" s="93"/>
      <c r="AH1579" s="93"/>
      <c r="AI1579" s="93"/>
      <c r="AJ1579" s="93"/>
    </row>
    <row r="1580" spans="30:36" ht="18">
      <c r="AD1580" s="93"/>
      <c r="AE1580" s="214"/>
      <c r="AF1580" s="93"/>
      <c r="AG1580" s="93"/>
      <c r="AH1580" s="93"/>
      <c r="AI1580" s="93"/>
      <c r="AJ1580" s="93"/>
    </row>
    <row r="1581" spans="30:36" ht="18">
      <c r="AD1581" s="93"/>
      <c r="AE1581" s="215"/>
      <c r="AF1581" s="93"/>
      <c r="AG1581" s="93"/>
      <c r="AH1581" s="93"/>
      <c r="AI1581" s="93"/>
      <c r="AJ1581" s="93"/>
    </row>
    <row r="1582" spans="30:36" ht="18">
      <c r="AD1582" s="93"/>
      <c r="AE1582" s="214"/>
      <c r="AF1582" s="93"/>
      <c r="AG1582" s="93"/>
      <c r="AH1582" s="93"/>
      <c r="AI1582" s="93"/>
      <c r="AJ1582" s="93"/>
    </row>
    <row r="1583" spans="30:36" ht="18">
      <c r="AD1583" s="93"/>
      <c r="AE1583" s="214"/>
      <c r="AF1583" s="93"/>
      <c r="AG1583" s="93"/>
      <c r="AH1583" s="93"/>
      <c r="AI1583" s="93"/>
      <c r="AJ1583" s="93"/>
    </row>
    <row r="1584" spans="30:36" ht="18">
      <c r="AD1584" s="93"/>
      <c r="AE1584" s="214"/>
      <c r="AF1584" s="93"/>
      <c r="AG1584" s="93"/>
      <c r="AH1584" s="93"/>
      <c r="AI1584" s="93"/>
      <c r="AJ1584" s="93"/>
    </row>
    <row r="1585" spans="30:36" ht="18">
      <c r="AD1585" s="93"/>
      <c r="AE1585" s="214"/>
      <c r="AF1585" s="93"/>
      <c r="AG1585" s="93"/>
      <c r="AH1585" s="93"/>
      <c r="AI1585" s="93"/>
      <c r="AJ1585" s="93"/>
    </row>
    <row r="1586" spans="30:36" ht="18">
      <c r="AD1586" s="93"/>
      <c r="AE1586" s="214"/>
      <c r="AF1586" s="93"/>
      <c r="AG1586" s="93"/>
      <c r="AH1586" s="93"/>
      <c r="AI1586" s="93"/>
      <c r="AJ1586" s="93"/>
    </row>
    <row r="1587" spans="30:36" ht="18">
      <c r="AD1587" s="93"/>
      <c r="AE1587" s="214"/>
      <c r="AF1587" s="93"/>
      <c r="AG1587" s="93"/>
      <c r="AH1587" s="93"/>
      <c r="AI1587" s="93"/>
      <c r="AJ1587" s="93"/>
    </row>
    <row r="1588" spans="30:36" ht="18">
      <c r="AD1588" s="93"/>
      <c r="AE1588" s="214"/>
      <c r="AF1588" s="93"/>
      <c r="AG1588" s="93"/>
      <c r="AH1588" s="93"/>
      <c r="AI1588" s="93"/>
      <c r="AJ1588" s="93"/>
    </row>
    <row r="1589" spans="30:36" ht="18">
      <c r="AD1589" s="93"/>
      <c r="AE1589" s="214"/>
      <c r="AF1589" s="93"/>
      <c r="AG1589" s="93"/>
      <c r="AH1589" s="93"/>
      <c r="AI1589" s="93"/>
      <c r="AJ1589" s="93"/>
    </row>
    <row r="1590" spans="30:36" ht="18">
      <c r="AD1590" s="93"/>
      <c r="AE1590" s="214"/>
      <c r="AF1590" s="93"/>
      <c r="AG1590" s="93"/>
      <c r="AH1590" s="93"/>
      <c r="AI1590" s="93"/>
      <c r="AJ1590" s="93"/>
    </row>
    <row r="1591" spans="30:36" ht="18">
      <c r="AD1591" s="93"/>
      <c r="AE1591" s="214"/>
      <c r="AF1591" s="93"/>
      <c r="AG1591" s="93"/>
      <c r="AH1591" s="93"/>
      <c r="AI1591" s="93"/>
      <c r="AJ1591" s="93"/>
    </row>
    <row r="1592" spans="30:36" ht="18">
      <c r="AD1592" s="93"/>
      <c r="AE1592" s="214"/>
      <c r="AF1592" s="93"/>
      <c r="AG1592" s="93"/>
      <c r="AH1592" s="93"/>
      <c r="AI1592" s="93"/>
      <c r="AJ1592" s="93"/>
    </row>
    <row r="1593" spans="30:36" ht="18">
      <c r="AD1593" s="93"/>
      <c r="AE1593" s="214"/>
      <c r="AF1593" s="93"/>
      <c r="AG1593" s="93"/>
      <c r="AH1593" s="93"/>
      <c r="AI1593" s="93"/>
      <c r="AJ1593" s="93"/>
    </row>
    <row r="1594" spans="30:36" ht="18">
      <c r="AD1594" s="93"/>
      <c r="AE1594" s="214"/>
      <c r="AF1594" s="93"/>
      <c r="AG1594" s="93"/>
      <c r="AH1594" s="93"/>
      <c r="AI1594" s="93"/>
      <c r="AJ1594" s="93"/>
    </row>
    <row r="1595" spans="30:36" ht="18">
      <c r="AD1595" s="93"/>
      <c r="AE1595" s="214"/>
      <c r="AF1595" s="93"/>
      <c r="AG1595" s="93"/>
      <c r="AH1595" s="93"/>
      <c r="AI1595" s="93"/>
      <c r="AJ1595" s="93"/>
    </row>
    <row r="1596" spans="30:36" ht="18">
      <c r="AD1596" s="93"/>
      <c r="AE1596" s="214"/>
      <c r="AF1596" s="93"/>
      <c r="AG1596" s="93"/>
      <c r="AH1596" s="93"/>
      <c r="AI1596" s="93"/>
      <c r="AJ1596" s="93"/>
    </row>
    <row r="1597" spans="30:36" ht="18">
      <c r="AD1597" s="93"/>
      <c r="AE1597" s="214"/>
      <c r="AF1597" s="93"/>
      <c r="AG1597" s="93"/>
      <c r="AH1597" s="93"/>
      <c r="AI1597" s="93"/>
      <c r="AJ1597" s="93"/>
    </row>
    <row r="1598" spans="30:36" ht="18">
      <c r="AD1598" s="93"/>
      <c r="AE1598" s="214"/>
      <c r="AF1598" s="93"/>
      <c r="AG1598" s="93"/>
      <c r="AH1598" s="93"/>
      <c r="AI1598" s="93"/>
      <c r="AJ1598" s="93"/>
    </row>
    <row r="1599" spans="30:36" ht="18">
      <c r="AD1599" s="93"/>
      <c r="AE1599" s="214"/>
      <c r="AF1599" s="93"/>
      <c r="AG1599" s="93"/>
      <c r="AH1599" s="93"/>
      <c r="AI1599" s="93"/>
      <c r="AJ1599" s="93"/>
    </row>
    <row r="1600" spans="30:36" ht="18">
      <c r="AD1600" s="93"/>
      <c r="AE1600" s="214"/>
      <c r="AF1600" s="93"/>
      <c r="AG1600" s="93"/>
      <c r="AH1600" s="93"/>
      <c r="AI1600" s="93"/>
      <c r="AJ1600" s="93"/>
    </row>
    <row r="1601" spans="30:36" ht="18">
      <c r="AD1601" s="93"/>
      <c r="AE1601" s="214"/>
      <c r="AF1601" s="93"/>
      <c r="AG1601" s="93"/>
      <c r="AH1601" s="93"/>
      <c r="AI1601" s="93"/>
      <c r="AJ1601" s="93"/>
    </row>
    <row r="1602" spans="30:36" ht="18">
      <c r="AD1602" s="93"/>
      <c r="AE1602" s="214"/>
      <c r="AF1602" s="93"/>
      <c r="AG1602" s="93"/>
      <c r="AH1602" s="93"/>
      <c r="AI1602" s="93"/>
      <c r="AJ1602" s="93"/>
    </row>
    <row r="1603" spans="30:36" ht="18">
      <c r="AD1603" s="93"/>
      <c r="AE1603" s="214"/>
      <c r="AF1603" s="93"/>
      <c r="AG1603" s="93"/>
      <c r="AH1603" s="93"/>
      <c r="AI1603" s="93"/>
      <c r="AJ1603" s="93"/>
    </row>
    <row r="1604" spans="30:36" ht="18">
      <c r="AD1604" s="93"/>
      <c r="AE1604" s="214"/>
      <c r="AF1604" s="93"/>
      <c r="AG1604" s="93"/>
      <c r="AH1604" s="93"/>
      <c r="AI1604" s="93"/>
      <c r="AJ1604" s="93"/>
    </row>
    <row r="1605" spans="30:36" ht="18">
      <c r="AD1605" s="93"/>
      <c r="AE1605" s="214"/>
      <c r="AF1605" s="93"/>
      <c r="AG1605" s="93"/>
      <c r="AH1605" s="93"/>
      <c r="AI1605" s="93"/>
      <c r="AJ1605" s="93"/>
    </row>
    <row r="1606" spans="30:36" ht="18">
      <c r="AD1606" s="93"/>
      <c r="AE1606" s="214"/>
      <c r="AF1606" s="93"/>
      <c r="AG1606" s="93"/>
      <c r="AH1606" s="93"/>
      <c r="AI1606" s="93"/>
      <c r="AJ1606" s="93"/>
    </row>
    <row r="1607" spans="30:36" ht="18">
      <c r="AD1607" s="93"/>
      <c r="AE1607" s="214"/>
      <c r="AF1607" s="93"/>
      <c r="AG1607" s="93"/>
      <c r="AH1607" s="93"/>
      <c r="AI1607" s="93"/>
      <c r="AJ1607" s="93"/>
    </row>
    <row r="1608" spans="30:36" ht="18">
      <c r="AD1608" s="93"/>
      <c r="AE1608" s="214"/>
      <c r="AF1608" s="93"/>
      <c r="AG1608" s="93"/>
      <c r="AH1608" s="93"/>
      <c r="AI1608" s="93"/>
      <c r="AJ1608" s="93"/>
    </row>
    <row r="1609" spans="30:36" ht="18">
      <c r="AD1609" s="93"/>
      <c r="AE1609" s="214"/>
      <c r="AF1609" s="93"/>
      <c r="AG1609" s="93"/>
      <c r="AH1609" s="93"/>
      <c r="AI1609" s="93"/>
      <c r="AJ1609" s="93"/>
    </row>
    <row r="1610" spans="30:36" ht="18">
      <c r="AD1610" s="93"/>
      <c r="AE1610" s="214"/>
      <c r="AF1610" s="93"/>
      <c r="AG1610" s="93"/>
      <c r="AH1610" s="93"/>
      <c r="AI1610" s="93"/>
      <c r="AJ1610" s="93"/>
    </row>
    <row r="1611" spans="30:36" ht="18">
      <c r="AD1611" s="93"/>
      <c r="AE1611" s="214"/>
      <c r="AF1611" s="93"/>
      <c r="AG1611" s="93"/>
      <c r="AH1611" s="93"/>
      <c r="AI1611" s="93"/>
      <c r="AJ1611" s="93"/>
    </row>
    <row r="1612" spans="30:36" ht="18">
      <c r="AD1612" s="93"/>
      <c r="AE1612" s="214"/>
      <c r="AF1612" s="93"/>
      <c r="AG1612" s="93"/>
      <c r="AH1612" s="93"/>
      <c r="AI1612" s="93"/>
      <c r="AJ1612" s="93"/>
    </row>
    <row r="1613" spans="30:36" ht="18">
      <c r="AD1613" s="93"/>
      <c r="AE1613" s="214"/>
      <c r="AF1613" s="93"/>
      <c r="AG1613" s="93"/>
      <c r="AH1613" s="93"/>
      <c r="AI1613" s="93"/>
      <c r="AJ1613" s="93"/>
    </row>
    <row r="1614" spans="30:36" ht="18">
      <c r="AD1614" s="93"/>
      <c r="AE1614" s="214"/>
      <c r="AF1614" s="93"/>
      <c r="AG1614" s="93"/>
      <c r="AH1614" s="93"/>
      <c r="AI1614" s="93"/>
      <c r="AJ1614" s="93"/>
    </row>
    <row r="1615" spans="30:36" ht="18">
      <c r="AD1615" s="93"/>
      <c r="AE1615" s="214"/>
      <c r="AF1615" s="93"/>
      <c r="AG1615" s="93"/>
      <c r="AH1615" s="93"/>
      <c r="AI1615" s="93"/>
      <c r="AJ1615" s="93"/>
    </row>
    <row r="1616" spans="30:36" ht="18">
      <c r="AD1616" s="93"/>
      <c r="AE1616" s="214"/>
      <c r="AF1616" s="93"/>
      <c r="AG1616" s="93"/>
      <c r="AH1616" s="93"/>
      <c r="AI1616" s="93"/>
      <c r="AJ1616" s="93"/>
    </row>
    <row r="1617" spans="30:36" ht="18">
      <c r="AD1617" s="93"/>
      <c r="AE1617" s="214"/>
      <c r="AF1617" s="93"/>
      <c r="AG1617" s="93"/>
      <c r="AH1617" s="93"/>
      <c r="AI1617" s="93"/>
      <c r="AJ1617" s="93"/>
    </row>
    <row r="1618" spans="30:36" ht="18">
      <c r="AD1618" s="93"/>
      <c r="AE1618" s="214"/>
      <c r="AF1618" s="93"/>
      <c r="AG1618" s="93"/>
      <c r="AH1618" s="93"/>
      <c r="AI1618" s="93"/>
      <c r="AJ1618" s="93"/>
    </row>
    <row r="1619" spans="30:36" ht="18">
      <c r="AD1619" s="93"/>
      <c r="AE1619" s="214"/>
      <c r="AF1619" s="93"/>
      <c r="AG1619" s="93"/>
      <c r="AH1619" s="93"/>
      <c r="AI1619" s="93"/>
      <c r="AJ1619" s="93"/>
    </row>
    <row r="1620" spans="30:36" ht="18">
      <c r="AD1620" s="93"/>
      <c r="AE1620" s="214"/>
      <c r="AF1620" s="93"/>
      <c r="AG1620" s="93"/>
      <c r="AH1620" s="93"/>
      <c r="AI1620" s="93"/>
      <c r="AJ1620" s="93"/>
    </row>
    <row r="1621" spans="30:36" ht="18">
      <c r="AD1621" s="93"/>
      <c r="AE1621" s="214"/>
      <c r="AF1621" s="93"/>
      <c r="AG1621" s="93"/>
      <c r="AH1621" s="93"/>
      <c r="AI1621" s="93"/>
      <c r="AJ1621" s="93"/>
    </row>
    <row r="1622" spans="30:36" ht="18">
      <c r="AD1622" s="93"/>
      <c r="AE1622" s="214"/>
      <c r="AF1622" s="93"/>
      <c r="AG1622" s="93"/>
      <c r="AH1622" s="93"/>
      <c r="AI1622" s="93"/>
      <c r="AJ1622" s="93"/>
    </row>
    <row r="1623" spans="30:36" ht="18">
      <c r="AD1623" s="93"/>
      <c r="AE1623" s="214"/>
      <c r="AF1623" s="93"/>
      <c r="AG1623" s="93"/>
      <c r="AH1623" s="93"/>
      <c r="AI1623" s="93"/>
      <c r="AJ1623" s="93"/>
    </row>
    <row r="1624" spans="30:36" ht="18">
      <c r="AD1624" s="93"/>
      <c r="AE1624" s="214"/>
      <c r="AF1624" s="93"/>
      <c r="AG1624" s="93"/>
      <c r="AH1624" s="93"/>
      <c r="AI1624" s="93"/>
      <c r="AJ1624" s="93"/>
    </row>
    <row r="1625" spans="30:36" ht="18">
      <c r="AD1625" s="93"/>
      <c r="AE1625" s="214"/>
      <c r="AF1625" s="93"/>
      <c r="AG1625" s="93"/>
      <c r="AH1625" s="93"/>
      <c r="AI1625" s="93"/>
      <c r="AJ1625" s="93"/>
    </row>
    <row r="1626" spans="30:36" ht="18">
      <c r="AD1626" s="93"/>
      <c r="AE1626" s="214"/>
      <c r="AF1626" s="93"/>
      <c r="AG1626" s="93"/>
      <c r="AH1626" s="93"/>
      <c r="AI1626" s="93"/>
      <c r="AJ1626" s="93"/>
    </row>
    <row r="1627" spans="30:36" ht="18">
      <c r="AD1627" s="93"/>
      <c r="AE1627" s="214"/>
      <c r="AF1627" s="93"/>
      <c r="AG1627" s="93"/>
      <c r="AH1627" s="93"/>
      <c r="AI1627" s="93"/>
      <c r="AJ1627" s="93"/>
    </row>
    <row r="1628" spans="30:36" ht="18">
      <c r="AD1628" s="93"/>
      <c r="AE1628" s="214"/>
      <c r="AF1628" s="93"/>
      <c r="AG1628" s="93"/>
      <c r="AH1628" s="93"/>
      <c r="AI1628" s="93"/>
      <c r="AJ1628" s="93"/>
    </row>
    <row r="1629" spans="30:36" ht="18">
      <c r="AD1629" s="93"/>
      <c r="AE1629" s="214"/>
      <c r="AF1629" s="93"/>
      <c r="AG1629" s="93"/>
      <c r="AH1629" s="93"/>
      <c r="AI1629" s="93"/>
      <c r="AJ1629" s="93"/>
    </row>
    <row r="1630" spans="30:36" ht="18">
      <c r="AD1630" s="93"/>
      <c r="AE1630" s="214"/>
      <c r="AF1630" s="93"/>
      <c r="AG1630" s="93"/>
      <c r="AH1630" s="93"/>
      <c r="AI1630" s="93"/>
      <c r="AJ1630" s="93"/>
    </row>
    <row r="1631" spans="30:36" ht="18">
      <c r="AD1631" s="93"/>
      <c r="AE1631" s="214"/>
      <c r="AF1631" s="93"/>
      <c r="AG1631" s="93"/>
      <c r="AH1631" s="93"/>
      <c r="AI1631" s="93"/>
      <c r="AJ1631" s="93"/>
    </row>
    <row r="1632" spans="30:36" ht="18">
      <c r="AD1632" s="93"/>
      <c r="AE1632" s="214"/>
      <c r="AF1632" s="93"/>
      <c r="AG1632" s="93"/>
      <c r="AH1632" s="93"/>
      <c r="AI1632" s="93"/>
      <c r="AJ1632" s="93"/>
    </row>
    <row r="1633" spans="30:36" ht="18">
      <c r="AD1633" s="93"/>
      <c r="AE1633" s="214"/>
      <c r="AF1633" s="93"/>
      <c r="AG1633" s="93"/>
      <c r="AH1633" s="93"/>
      <c r="AI1633" s="93"/>
      <c r="AJ1633" s="93"/>
    </row>
    <row r="1634" spans="30:36" ht="18">
      <c r="AD1634" s="93"/>
      <c r="AE1634" s="214"/>
      <c r="AF1634" s="93"/>
      <c r="AG1634" s="93"/>
      <c r="AH1634" s="93"/>
      <c r="AI1634" s="93"/>
      <c r="AJ1634" s="93"/>
    </row>
    <row r="1635" spans="30:36" ht="18">
      <c r="AD1635" s="93"/>
      <c r="AE1635" s="214"/>
      <c r="AF1635" s="93"/>
      <c r="AG1635" s="93"/>
      <c r="AH1635" s="93"/>
      <c r="AI1635" s="93"/>
      <c r="AJ1635" s="93"/>
    </row>
    <row r="1636" spans="30:36" ht="18">
      <c r="AD1636" s="93"/>
      <c r="AE1636" s="214"/>
      <c r="AF1636" s="93"/>
      <c r="AG1636" s="93"/>
      <c r="AH1636" s="93"/>
      <c r="AI1636" s="93"/>
      <c r="AJ1636" s="93"/>
    </row>
    <row r="1637" spans="30:36" ht="18">
      <c r="AD1637" s="93"/>
      <c r="AE1637" s="215"/>
      <c r="AF1637" s="93"/>
      <c r="AG1637" s="93"/>
      <c r="AH1637" s="93"/>
      <c r="AI1637" s="93"/>
      <c r="AJ1637" s="93"/>
    </row>
    <row r="1638" spans="30:36" ht="18">
      <c r="AD1638" s="93"/>
      <c r="AE1638" s="214"/>
      <c r="AF1638" s="93"/>
      <c r="AG1638" s="93"/>
      <c r="AH1638" s="93"/>
      <c r="AI1638" s="93"/>
      <c r="AJ1638" s="93"/>
    </row>
    <row r="1639" spans="30:36" ht="18">
      <c r="AD1639" s="93"/>
      <c r="AE1639" s="214"/>
      <c r="AF1639" s="93"/>
      <c r="AG1639" s="93"/>
      <c r="AH1639" s="93"/>
      <c r="AI1639" s="93"/>
      <c r="AJ1639" s="93"/>
    </row>
    <row r="1640" spans="30:36" ht="18">
      <c r="AD1640" s="93"/>
      <c r="AE1640" s="214"/>
      <c r="AF1640" s="93"/>
      <c r="AG1640" s="93"/>
      <c r="AH1640" s="93"/>
      <c r="AI1640" s="93"/>
      <c r="AJ1640" s="93"/>
    </row>
    <row r="1641" spans="30:36" ht="18">
      <c r="AD1641" s="93"/>
      <c r="AE1641" s="214"/>
      <c r="AF1641" s="93"/>
      <c r="AG1641" s="93"/>
      <c r="AH1641" s="93"/>
      <c r="AI1641" s="93"/>
      <c r="AJ1641" s="93"/>
    </row>
    <row r="1642" spans="30:36" ht="18">
      <c r="AD1642" s="93"/>
      <c r="AE1642" s="214"/>
      <c r="AF1642" s="93"/>
      <c r="AG1642" s="93"/>
      <c r="AH1642" s="93"/>
      <c r="AI1642" s="93"/>
      <c r="AJ1642" s="93"/>
    </row>
    <row r="1643" spans="30:36" ht="18">
      <c r="AD1643" s="93"/>
      <c r="AE1643" s="214"/>
      <c r="AF1643" s="93"/>
      <c r="AG1643" s="93"/>
      <c r="AH1643" s="93"/>
      <c r="AI1643" s="93"/>
      <c r="AJ1643" s="93"/>
    </row>
    <row r="1644" spans="30:36" ht="18">
      <c r="AD1644" s="93"/>
      <c r="AE1644" s="214"/>
      <c r="AF1644" s="93"/>
      <c r="AG1644" s="93"/>
      <c r="AH1644" s="93"/>
      <c r="AI1644" s="93"/>
      <c r="AJ1644" s="93"/>
    </row>
    <row r="1645" spans="30:36" ht="18">
      <c r="AD1645" s="93"/>
      <c r="AE1645" s="214"/>
      <c r="AF1645" s="93"/>
      <c r="AG1645" s="93"/>
      <c r="AH1645" s="93"/>
      <c r="AI1645" s="93"/>
      <c r="AJ1645" s="93"/>
    </row>
    <row r="1646" spans="30:36" ht="18">
      <c r="AD1646" s="93"/>
      <c r="AE1646" s="214"/>
      <c r="AF1646" s="93"/>
      <c r="AG1646" s="93"/>
      <c r="AH1646" s="93"/>
      <c r="AI1646" s="93"/>
      <c r="AJ1646" s="93"/>
    </row>
    <row r="1647" spans="30:36" ht="18">
      <c r="AD1647" s="93"/>
      <c r="AE1647" s="214"/>
      <c r="AF1647" s="93"/>
      <c r="AG1647" s="93"/>
      <c r="AH1647" s="93"/>
      <c r="AI1647" s="93"/>
      <c r="AJ1647" s="93"/>
    </row>
    <row r="1648" spans="30:36" ht="18">
      <c r="AD1648" s="93"/>
      <c r="AE1648" s="214"/>
      <c r="AF1648" s="93"/>
      <c r="AG1648" s="93"/>
      <c r="AH1648" s="93"/>
      <c r="AI1648" s="93"/>
      <c r="AJ1648" s="93"/>
    </row>
    <row r="1649" spans="30:36" ht="18">
      <c r="AD1649" s="93"/>
      <c r="AE1649" s="214"/>
      <c r="AF1649" s="93"/>
      <c r="AG1649" s="93"/>
      <c r="AH1649" s="93"/>
      <c r="AI1649" s="93"/>
      <c r="AJ1649" s="93"/>
    </row>
    <row r="1650" spans="30:36" ht="18">
      <c r="AD1650" s="93"/>
      <c r="AE1650" s="214"/>
      <c r="AF1650" s="93"/>
      <c r="AG1650" s="93"/>
      <c r="AH1650" s="93"/>
      <c r="AI1650" s="93"/>
      <c r="AJ1650" s="93"/>
    </row>
    <row r="1651" spans="30:36" ht="18">
      <c r="AD1651" s="93"/>
      <c r="AE1651" s="214"/>
      <c r="AF1651" s="93"/>
      <c r="AG1651" s="93"/>
      <c r="AH1651" s="93"/>
      <c r="AI1651" s="93"/>
      <c r="AJ1651" s="93"/>
    </row>
    <row r="1652" spans="30:36" ht="18">
      <c r="AD1652" s="93"/>
      <c r="AE1652" s="214"/>
      <c r="AF1652" s="93"/>
      <c r="AG1652" s="93"/>
      <c r="AH1652" s="93"/>
      <c r="AI1652" s="93"/>
      <c r="AJ1652" s="93"/>
    </row>
    <row r="1653" spans="30:36" ht="18">
      <c r="AD1653" s="93"/>
      <c r="AE1653" s="214"/>
      <c r="AF1653" s="93"/>
      <c r="AG1653" s="93"/>
      <c r="AH1653" s="93"/>
      <c r="AI1653" s="93"/>
      <c r="AJ1653" s="93"/>
    </row>
    <row r="1654" spans="30:36" ht="18">
      <c r="AD1654" s="93"/>
      <c r="AE1654" s="214"/>
      <c r="AF1654" s="93"/>
      <c r="AG1654" s="93"/>
      <c r="AH1654" s="93"/>
      <c r="AI1654" s="93"/>
      <c r="AJ1654" s="93"/>
    </row>
    <row r="1655" spans="30:36" ht="18">
      <c r="AD1655" s="93"/>
      <c r="AE1655" s="215"/>
      <c r="AF1655" s="93"/>
      <c r="AG1655" s="93"/>
      <c r="AH1655" s="93"/>
      <c r="AI1655" s="93"/>
      <c r="AJ1655" s="93"/>
    </row>
    <row r="1656" spans="30:36" ht="18">
      <c r="AD1656" s="93"/>
      <c r="AE1656" s="215"/>
      <c r="AF1656" s="93"/>
      <c r="AG1656" s="93"/>
      <c r="AH1656" s="93"/>
      <c r="AI1656" s="93"/>
      <c r="AJ1656" s="93"/>
    </row>
    <row r="1657" spans="30:36" ht="18">
      <c r="AD1657" s="93"/>
      <c r="AE1657" s="214"/>
      <c r="AF1657" s="93"/>
      <c r="AG1657" s="93"/>
      <c r="AH1657" s="93"/>
      <c r="AI1657" s="93"/>
      <c r="AJ1657" s="93"/>
    </row>
    <row r="1658" spans="30:36" ht="18">
      <c r="AD1658" s="93"/>
      <c r="AE1658" s="214"/>
      <c r="AF1658" s="93"/>
      <c r="AG1658" s="93"/>
      <c r="AH1658" s="93"/>
      <c r="AI1658" s="93"/>
      <c r="AJ1658" s="93"/>
    </row>
    <row r="1659" spans="30:36" ht="18">
      <c r="AD1659" s="93"/>
      <c r="AE1659" s="214"/>
      <c r="AF1659" s="93"/>
      <c r="AG1659" s="93"/>
      <c r="AH1659" s="93"/>
      <c r="AI1659" s="93"/>
      <c r="AJ1659" s="93"/>
    </row>
    <row r="1660" spans="30:36" ht="18">
      <c r="AD1660" s="93"/>
      <c r="AE1660" s="214"/>
      <c r="AF1660" s="93"/>
      <c r="AG1660" s="93"/>
      <c r="AH1660" s="93"/>
      <c r="AI1660" s="93"/>
      <c r="AJ1660" s="93"/>
    </row>
    <row r="1661" spans="30:36" ht="18">
      <c r="AD1661" s="93"/>
      <c r="AE1661" s="214"/>
      <c r="AF1661" s="93"/>
      <c r="AG1661" s="93"/>
      <c r="AH1661" s="93"/>
      <c r="AI1661" s="93"/>
      <c r="AJ1661" s="93"/>
    </row>
    <row r="1662" spans="30:36" ht="18">
      <c r="AD1662" s="93"/>
      <c r="AE1662" s="214"/>
      <c r="AF1662" s="93"/>
      <c r="AG1662" s="93"/>
      <c r="AH1662" s="93"/>
      <c r="AI1662" s="93"/>
      <c r="AJ1662" s="93"/>
    </row>
    <row r="1663" spans="30:36" ht="18">
      <c r="AD1663" s="93"/>
      <c r="AE1663" s="214"/>
      <c r="AF1663" s="93"/>
      <c r="AG1663" s="93"/>
      <c r="AH1663" s="93"/>
      <c r="AI1663" s="93"/>
      <c r="AJ1663" s="93"/>
    </row>
    <row r="1664" spans="30:36" ht="18">
      <c r="AD1664" s="93"/>
      <c r="AE1664" s="214"/>
      <c r="AF1664" s="93"/>
      <c r="AG1664" s="93"/>
      <c r="AH1664" s="93"/>
      <c r="AI1664" s="93"/>
      <c r="AJ1664" s="93"/>
    </row>
    <row r="1665" spans="30:36" ht="18">
      <c r="AD1665" s="93"/>
      <c r="AE1665" s="214"/>
      <c r="AF1665" s="93"/>
      <c r="AG1665" s="93"/>
      <c r="AH1665" s="93"/>
      <c r="AI1665" s="93"/>
      <c r="AJ1665" s="93"/>
    </row>
    <row r="1666" spans="30:36" ht="18">
      <c r="AD1666" s="93"/>
      <c r="AE1666" s="214"/>
      <c r="AF1666" s="93"/>
      <c r="AG1666" s="93"/>
      <c r="AH1666" s="93"/>
      <c r="AI1666" s="93"/>
      <c r="AJ1666" s="93"/>
    </row>
    <row r="1667" spans="30:36" ht="18">
      <c r="AD1667" s="93"/>
      <c r="AE1667" s="214"/>
      <c r="AF1667" s="93"/>
      <c r="AG1667" s="93"/>
      <c r="AH1667" s="93"/>
      <c r="AI1667" s="93"/>
      <c r="AJ1667" s="93"/>
    </row>
    <row r="1668" spans="30:36" ht="18">
      <c r="AD1668" s="93"/>
      <c r="AE1668" s="214"/>
      <c r="AF1668" s="93"/>
      <c r="AG1668" s="93"/>
      <c r="AH1668" s="93"/>
      <c r="AI1668" s="93"/>
      <c r="AJ1668" s="93"/>
    </row>
    <row r="1669" spans="30:36" ht="18">
      <c r="AD1669" s="93"/>
      <c r="AE1669" s="215"/>
      <c r="AF1669" s="93"/>
      <c r="AG1669" s="93"/>
      <c r="AH1669" s="93"/>
      <c r="AI1669" s="93"/>
      <c r="AJ1669" s="93"/>
    </row>
    <row r="1670" spans="30:36" ht="18">
      <c r="AD1670" s="93"/>
      <c r="AE1670" s="215"/>
      <c r="AF1670" s="93"/>
      <c r="AG1670" s="93"/>
      <c r="AH1670" s="93"/>
      <c r="AI1670" s="93"/>
      <c r="AJ1670" s="93"/>
    </row>
    <row r="1671" spans="30:36" ht="18">
      <c r="AD1671" s="93"/>
      <c r="AE1671" s="214"/>
      <c r="AF1671" s="93"/>
      <c r="AG1671" s="93"/>
      <c r="AH1671" s="93"/>
      <c r="AI1671" s="93"/>
      <c r="AJ1671" s="93"/>
    </row>
    <row r="1672" spans="30:36" ht="18">
      <c r="AD1672" s="93"/>
      <c r="AE1672" s="214"/>
      <c r="AF1672" s="93"/>
      <c r="AG1672" s="93"/>
      <c r="AH1672" s="93"/>
      <c r="AI1672" s="93"/>
      <c r="AJ1672" s="93"/>
    </row>
    <row r="1673" spans="30:36" ht="18">
      <c r="AD1673" s="93"/>
      <c r="AE1673" s="214"/>
      <c r="AF1673" s="93"/>
      <c r="AG1673" s="93"/>
      <c r="AH1673" s="93"/>
      <c r="AI1673" s="93"/>
      <c r="AJ1673" s="93"/>
    </row>
    <row r="1674" spans="30:36" ht="18">
      <c r="AD1674" s="93"/>
      <c r="AE1674" s="214"/>
      <c r="AF1674" s="93"/>
      <c r="AG1674" s="93"/>
      <c r="AH1674" s="93"/>
      <c r="AI1674" s="93"/>
      <c r="AJ1674" s="93"/>
    </row>
    <row r="1675" spans="30:36" ht="18">
      <c r="AD1675" s="93"/>
      <c r="AE1675" s="214"/>
      <c r="AF1675" s="93"/>
      <c r="AG1675" s="93"/>
      <c r="AH1675" s="93"/>
      <c r="AI1675" s="93"/>
      <c r="AJ1675" s="93"/>
    </row>
    <row r="1676" spans="30:36" ht="18">
      <c r="AD1676" s="93"/>
      <c r="AE1676" s="214"/>
      <c r="AF1676" s="93"/>
      <c r="AG1676" s="93"/>
      <c r="AH1676" s="93"/>
      <c r="AI1676" s="93"/>
      <c r="AJ1676" s="93"/>
    </row>
    <row r="1677" spans="30:36" ht="18">
      <c r="AD1677" s="93"/>
      <c r="AE1677" s="214"/>
      <c r="AF1677" s="93"/>
      <c r="AG1677" s="93"/>
      <c r="AH1677" s="93"/>
      <c r="AI1677" s="93"/>
      <c r="AJ1677" s="93"/>
    </row>
    <row r="1678" spans="30:36" ht="18">
      <c r="AD1678" s="93"/>
      <c r="AE1678" s="214"/>
      <c r="AF1678" s="93"/>
      <c r="AG1678" s="93"/>
      <c r="AH1678" s="93"/>
      <c r="AI1678" s="93"/>
      <c r="AJ1678" s="93"/>
    </row>
    <row r="1679" spans="30:36" ht="18">
      <c r="AD1679" s="93"/>
      <c r="AE1679" s="214"/>
      <c r="AF1679" s="93"/>
      <c r="AG1679" s="93"/>
      <c r="AH1679" s="93"/>
      <c r="AI1679" s="93"/>
      <c r="AJ1679" s="93"/>
    </row>
    <row r="1680" spans="30:36" ht="18">
      <c r="AD1680" s="93"/>
      <c r="AE1680" s="214"/>
      <c r="AF1680" s="93"/>
      <c r="AG1680" s="93"/>
      <c r="AH1680" s="93"/>
      <c r="AI1680" s="93"/>
      <c r="AJ1680" s="93"/>
    </row>
    <row r="1681" spans="30:36" ht="18">
      <c r="AD1681" s="93"/>
      <c r="AE1681" s="214"/>
      <c r="AF1681" s="93"/>
      <c r="AG1681" s="93"/>
      <c r="AH1681" s="93"/>
      <c r="AI1681" s="93"/>
      <c r="AJ1681" s="93"/>
    </row>
    <row r="1682" spans="30:36" ht="18">
      <c r="AD1682" s="93"/>
      <c r="AE1682" s="214"/>
      <c r="AF1682" s="93"/>
      <c r="AG1682" s="93"/>
      <c r="AH1682" s="93"/>
      <c r="AI1682" s="93"/>
      <c r="AJ1682" s="93"/>
    </row>
    <row r="1683" spans="30:36" ht="18">
      <c r="AD1683" s="93"/>
      <c r="AE1683" s="214"/>
      <c r="AF1683" s="93"/>
      <c r="AG1683" s="93"/>
      <c r="AH1683" s="93"/>
      <c r="AI1683" s="93"/>
      <c r="AJ1683" s="93"/>
    </row>
    <row r="1684" spans="30:36" ht="18">
      <c r="AD1684" s="93"/>
      <c r="AE1684" s="214"/>
      <c r="AF1684" s="93"/>
      <c r="AG1684" s="93"/>
      <c r="AH1684" s="93"/>
      <c r="AI1684" s="93"/>
      <c r="AJ1684" s="93"/>
    </row>
    <row r="1685" spans="30:36" ht="18">
      <c r="AD1685" s="93"/>
      <c r="AE1685" s="214"/>
      <c r="AF1685" s="93"/>
      <c r="AG1685" s="93"/>
      <c r="AH1685" s="93"/>
      <c r="AI1685" s="93"/>
      <c r="AJ1685" s="93"/>
    </row>
    <row r="1686" spans="30:36" ht="18">
      <c r="AD1686" s="93"/>
      <c r="AE1686" s="214"/>
      <c r="AF1686" s="93"/>
      <c r="AG1686" s="93"/>
      <c r="AH1686" s="93"/>
      <c r="AI1686" s="93"/>
      <c r="AJ1686" s="93"/>
    </row>
    <row r="1687" spans="30:36" ht="18">
      <c r="AD1687" s="93"/>
      <c r="AE1687" s="214"/>
      <c r="AF1687" s="93"/>
      <c r="AG1687" s="93"/>
      <c r="AH1687" s="93"/>
      <c r="AI1687" s="93"/>
      <c r="AJ1687" s="93"/>
    </row>
    <row r="1688" spans="30:36" ht="18">
      <c r="AD1688" s="93"/>
      <c r="AE1688" s="214"/>
      <c r="AF1688" s="93"/>
      <c r="AG1688" s="93"/>
      <c r="AH1688" s="93"/>
      <c r="AI1688" s="93"/>
      <c r="AJ1688" s="93"/>
    </row>
    <row r="1689" spans="30:36" ht="18">
      <c r="AD1689" s="93"/>
      <c r="AE1689" s="214"/>
      <c r="AF1689" s="93"/>
      <c r="AG1689" s="93"/>
      <c r="AH1689" s="93"/>
      <c r="AI1689" s="93"/>
      <c r="AJ1689" s="93"/>
    </row>
    <row r="1690" spans="30:36" ht="18">
      <c r="AD1690" s="93"/>
      <c r="AE1690" s="214"/>
      <c r="AF1690" s="93"/>
      <c r="AG1690" s="93"/>
      <c r="AH1690" s="93"/>
      <c r="AI1690" s="93"/>
      <c r="AJ1690" s="93"/>
    </row>
    <row r="1691" spans="30:36" ht="18">
      <c r="AD1691" s="93"/>
      <c r="AE1691" s="214"/>
      <c r="AF1691" s="93"/>
      <c r="AG1691" s="93"/>
      <c r="AH1691" s="93"/>
      <c r="AI1691" s="93"/>
      <c r="AJ1691" s="93"/>
    </row>
    <row r="1692" spans="30:36" ht="18">
      <c r="AD1692" s="93"/>
      <c r="AE1692" s="214"/>
      <c r="AF1692" s="93"/>
      <c r="AG1692" s="93"/>
      <c r="AH1692" s="93"/>
      <c r="AI1692" s="93"/>
      <c r="AJ1692" s="93"/>
    </row>
    <row r="1693" spans="30:36" ht="18">
      <c r="AD1693" s="93"/>
      <c r="AE1693" s="214"/>
      <c r="AF1693" s="93"/>
      <c r="AG1693" s="93"/>
      <c r="AH1693" s="93"/>
      <c r="AI1693" s="93"/>
      <c r="AJ1693" s="93"/>
    </row>
    <row r="1694" spans="30:36" ht="18">
      <c r="AD1694" s="93"/>
      <c r="AE1694" s="214"/>
      <c r="AF1694" s="93"/>
      <c r="AG1694" s="93"/>
      <c r="AH1694" s="93"/>
      <c r="AI1694" s="93"/>
      <c r="AJ1694" s="93"/>
    </row>
    <row r="1695" spans="30:36" ht="18">
      <c r="AD1695" s="93"/>
      <c r="AE1695" s="214"/>
      <c r="AF1695" s="93"/>
      <c r="AG1695" s="93"/>
      <c r="AH1695" s="93"/>
      <c r="AI1695" s="93"/>
      <c r="AJ1695" s="93"/>
    </row>
    <row r="1696" spans="30:36" ht="18">
      <c r="AD1696" s="93"/>
      <c r="AE1696" s="214"/>
      <c r="AF1696" s="93"/>
      <c r="AG1696" s="93"/>
      <c r="AH1696" s="93"/>
      <c r="AI1696" s="93"/>
      <c r="AJ1696" s="93"/>
    </row>
    <row r="1697" spans="30:36" ht="18">
      <c r="AD1697" s="93"/>
      <c r="AE1697" s="214"/>
      <c r="AF1697" s="93"/>
      <c r="AG1697" s="93"/>
      <c r="AH1697" s="93"/>
      <c r="AI1697" s="93"/>
      <c r="AJ1697" s="93"/>
    </row>
    <row r="1698" spans="30:36" ht="18">
      <c r="AD1698" s="93"/>
      <c r="AE1698" s="214"/>
      <c r="AF1698" s="93"/>
      <c r="AG1698" s="93"/>
      <c r="AH1698" s="93"/>
      <c r="AI1698" s="93"/>
      <c r="AJ1698" s="93"/>
    </row>
    <row r="1699" spans="30:36" ht="18">
      <c r="AD1699" s="93"/>
      <c r="AE1699" s="214"/>
      <c r="AF1699" s="93"/>
      <c r="AG1699" s="93"/>
      <c r="AH1699" s="93"/>
      <c r="AI1699" s="93"/>
      <c r="AJ1699" s="93"/>
    </row>
    <row r="1700" spans="30:36" ht="18">
      <c r="AD1700" s="93"/>
      <c r="AE1700" s="214"/>
      <c r="AF1700" s="93"/>
      <c r="AG1700" s="93"/>
      <c r="AH1700" s="93"/>
      <c r="AI1700" s="93"/>
      <c r="AJ1700" s="93"/>
    </row>
    <row r="1701" spans="30:36" ht="18">
      <c r="AD1701" s="93"/>
      <c r="AE1701" s="214"/>
      <c r="AF1701" s="93"/>
      <c r="AG1701" s="93"/>
      <c r="AH1701" s="93"/>
      <c r="AI1701" s="93"/>
      <c r="AJ1701" s="93"/>
    </row>
    <row r="1702" spans="30:36" ht="18">
      <c r="AD1702" s="93"/>
      <c r="AE1702" s="214"/>
      <c r="AF1702" s="93"/>
      <c r="AG1702" s="93"/>
      <c r="AH1702" s="93"/>
      <c r="AI1702" s="93"/>
      <c r="AJ1702" s="93"/>
    </row>
    <row r="1703" spans="30:36" ht="18">
      <c r="AD1703" s="93"/>
      <c r="AE1703" s="214"/>
      <c r="AF1703" s="93"/>
      <c r="AG1703" s="93"/>
      <c r="AH1703" s="93"/>
      <c r="AI1703" s="93"/>
      <c r="AJ1703" s="93"/>
    </row>
    <row r="1704" spans="30:36" ht="18">
      <c r="AD1704" s="93"/>
      <c r="AE1704" s="214"/>
      <c r="AF1704" s="93"/>
      <c r="AG1704" s="93"/>
      <c r="AH1704" s="93"/>
      <c r="AI1704" s="93"/>
      <c r="AJ1704" s="93"/>
    </row>
    <row r="1705" spans="30:36" ht="18">
      <c r="AD1705" s="93"/>
      <c r="AE1705" s="214"/>
      <c r="AF1705" s="93"/>
      <c r="AG1705" s="93"/>
      <c r="AH1705" s="93"/>
      <c r="AI1705" s="93"/>
      <c r="AJ1705" s="93"/>
    </row>
    <row r="1706" spans="30:36" ht="18">
      <c r="AD1706" s="93"/>
      <c r="AE1706" s="214"/>
      <c r="AF1706" s="93"/>
      <c r="AG1706" s="93"/>
      <c r="AH1706" s="93"/>
      <c r="AI1706" s="93"/>
      <c r="AJ1706" s="93"/>
    </row>
    <row r="1707" spans="30:36" ht="18">
      <c r="AD1707" s="93"/>
      <c r="AE1707" s="214"/>
      <c r="AF1707" s="93"/>
      <c r="AG1707" s="93"/>
      <c r="AH1707" s="93"/>
      <c r="AI1707" s="93"/>
      <c r="AJ1707" s="93"/>
    </row>
    <row r="1708" spans="30:36" ht="18">
      <c r="AD1708" s="93"/>
      <c r="AE1708" s="214"/>
      <c r="AF1708" s="93"/>
      <c r="AG1708" s="93"/>
      <c r="AH1708" s="93"/>
      <c r="AI1708" s="93"/>
      <c r="AJ1708" s="93"/>
    </row>
    <row r="1709" spans="30:36" ht="18">
      <c r="AD1709" s="93"/>
      <c r="AE1709" s="214"/>
      <c r="AF1709" s="93"/>
      <c r="AG1709" s="93"/>
      <c r="AH1709" s="93"/>
      <c r="AI1709" s="93"/>
      <c r="AJ1709" s="93"/>
    </row>
    <row r="1710" spans="30:36" ht="18">
      <c r="AD1710" s="93"/>
      <c r="AE1710" s="214"/>
      <c r="AF1710" s="93"/>
      <c r="AG1710" s="93"/>
      <c r="AH1710" s="93"/>
      <c r="AI1710" s="93"/>
      <c r="AJ1710" s="93"/>
    </row>
    <row r="1711" spans="30:36" ht="18">
      <c r="AD1711" s="93"/>
      <c r="AE1711" s="214"/>
      <c r="AF1711" s="93"/>
      <c r="AG1711" s="93"/>
      <c r="AH1711" s="93"/>
      <c r="AI1711" s="93"/>
      <c r="AJ1711" s="93"/>
    </row>
    <row r="1712" spans="30:36" ht="18">
      <c r="AD1712" s="93"/>
      <c r="AE1712" s="214"/>
      <c r="AF1712" s="93"/>
      <c r="AG1712" s="93"/>
      <c r="AH1712" s="93"/>
      <c r="AI1712" s="93"/>
      <c r="AJ1712" s="93"/>
    </row>
    <row r="1713" spans="30:36" ht="18">
      <c r="AD1713" s="93"/>
      <c r="AE1713" s="214"/>
      <c r="AF1713" s="93"/>
      <c r="AG1713" s="93"/>
      <c r="AH1713" s="93"/>
      <c r="AI1713" s="93"/>
      <c r="AJ1713" s="93"/>
    </row>
    <row r="1714" spans="30:36" ht="18">
      <c r="AD1714" s="93"/>
      <c r="AE1714" s="215"/>
      <c r="AF1714" s="93"/>
      <c r="AG1714" s="93"/>
      <c r="AH1714" s="93"/>
      <c r="AI1714" s="93"/>
      <c r="AJ1714" s="93"/>
    </row>
    <row r="1715" spans="30:36" ht="18">
      <c r="AD1715" s="93"/>
      <c r="AE1715" s="215"/>
      <c r="AF1715" s="93"/>
      <c r="AG1715" s="93"/>
      <c r="AH1715" s="93"/>
      <c r="AI1715" s="93"/>
      <c r="AJ1715" s="93"/>
    </row>
    <row r="1716" spans="30:36" ht="18">
      <c r="AD1716" s="93"/>
      <c r="AE1716" s="214"/>
      <c r="AF1716" s="93"/>
      <c r="AG1716" s="93"/>
      <c r="AH1716" s="93"/>
      <c r="AI1716" s="93"/>
      <c r="AJ1716" s="93"/>
    </row>
    <row r="1717" spans="30:36" ht="18">
      <c r="AD1717" s="93"/>
      <c r="AE1717" s="214"/>
      <c r="AF1717" s="93"/>
      <c r="AG1717" s="93"/>
      <c r="AH1717" s="93"/>
      <c r="AI1717" s="93"/>
      <c r="AJ1717" s="93"/>
    </row>
    <row r="1718" spans="30:36" ht="18">
      <c r="AD1718" s="93"/>
      <c r="AE1718" s="214"/>
      <c r="AF1718" s="93"/>
      <c r="AG1718" s="93"/>
      <c r="AH1718" s="93"/>
      <c r="AI1718" s="93"/>
      <c r="AJ1718" s="93"/>
    </row>
    <row r="1719" spans="30:36" ht="18">
      <c r="AD1719" s="93"/>
      <c r="AE1719" s="214"/>
      <c r="AF1719" s="93"/>
      <c r="AG1719" s="93"/>
      <c r="AH1719" s="93"/>
      <c r="AI1719" s="93"/>
      <c r="AJ1719" s="93"/>
    </row>
    <row r="1720" spans="30:36" ht="18">
      <c r="AD1720" s="93"/>
      <c r="AE1720" s="214"/>
      <c r="AF1720" s="93"/>
      <c r="AG1720" s="93"/>
      <c r="AH1720" s="93"/>
      <c r="AI1720" s="93"/>
      <c r="AJ1720" s="93"/>
    </row>
    <row r="1721" spans="30:36" ht="18">
      <c r="AD1721" s="93"/>
      <c r="AE1721" s="214"/>
      <c r="AF1721" s="93"/>
      <c r="AG1721" s="93"/>
      <c r="AH1721" s="93"/>
      <c r="AI1721" s="93"/>
      <c r="AJ1721" s="93"/>
    </row>
    <row r="1722" spans="30:36" ht="18">
      <c r="AD1722" s="93"/>
      <c r="AE1722" s="214"/>
      <c r="AF1722" s="93"/>
      <c r="AG1722" s="93"/>
      <c r="AH1722" s="93"/>
      <c r="AI1722" s="93"/>
      <c r="AJ1722" s="93"/>
    </row>
    <row r="1723" spans="30:36" ht="18">
      <c r="AD1723" s="93"/>
      <c r="AE1723" s="214"/>
      <c r="AF1723" s="93"/>
      <c r="AG1723" s="93"/>
      <c r="AH1723" s="93"/>
      <c r="AI1723" s="93"/>
      <c r="AJ1723" s="93"/>
    </row>
    <row r="1724" spans="30:36" ht="18">
      <c r="AD1724" s="93"/>
      <c r="AE1724" s="214"/>
      <c r="AF1724" s="93"/>
      <c r="AG1724" s="93"/>
      <c r="AH1724" s="93"/>
      <c r="AI1724" s="93"/>
      <c r="AJ1724" s="93"/>
    </row>
    <row r="1725" spans="30:36" ht="18">
      <c r="AD1725" s="93"/>
      <c r="AE1725" s="214"/>
      <c r="AF1725" s="93"/>
      <c r="AG1725" s="93"/>
      <c r="AH1725" s="93"/>
      <c r="AI1725" s="93"/>
      <c r="AJ1725" s="93"/>
    </row>
    <row r="1726" spans="30:36" ht="18">
      <c r="AD1726" s="93"/>
      <c r="AE1726" s="214"/>
      <c r="AF1726" s="93"/>
      <c r="AG1726" s="93"/>
      <c r="AH1726" s="93"/>
      <c r="AI1726" s="93"/>
      <c r="AJ1726" s="93"/>
    </row>
    <row r="1727" spans="30:36" ht="18">
      <c r="AD1727" s="93"/>
      <c r="AE1727" s="214"/>
      <c r="AF1727" s="93"/>
      <c r="AG1727" s="93"/>
      <c r="AH1727" s="93"/>
      <c r="AI1727" s="93"/>
      <c r="AJ1727" s="93"/>
    </row>
    <row r="1728" spans="30:36" ht="18">
      <c r="AD1728" s="93"/>
      <c r="AE1728" s="214"/>
      <c r="AF1728" s="93"/>
      <c r="AG1728" s="93"/>
      <c r="AH1728" s="93"/>
      <c r="AI1728" s="93"/>
      <c r="AJ1728" s="93"/>
    </row>
    <row r="1729" spans="30:36" ht="18">
      <c r="AD1729" s="93"/>
      <c r="AE1729" s="214"/>
      <c r="AF1729" s="93"/>
      <c r="AG1729" s="93"/>
      <c r="AH1729" s="93"/>
      <c r="AI1729" s="93"/>
      <c r="AJ1729" s="93"/>
    </row>
    <row r="1730" spans="30:36" ht="18">
      <c r="AD1730" s="93"/>
      <c r="AE1730" s="214"/>
      <c r="AF1730" s="93"/>
      <c r="AG1730" s="93"/>
      <c r="AH1730" s="93"/>
      <c r="AI1730" s="93"/>
      <c r="AJ1730" s="93"/>
    </row>
    <row r="1731" spans="30:36" ht="18">
      <c r="AD1731" s="93"/>
      <c r="AE1731" s="214"/>
      <c r="AF1731" s="93"/>
      <c r="AG1731" s="93"/>
      <c r="AH1731" s="93"/>
      <c r="AI1731" s="93"/>
      <c r="AJ1731" s="93"/>
    </row>
    <row r="1732" spans="30:36" ht="18">
      <c r="AD1732" s="93"/>
      <c r="AE1732" s="214"/>
      <c r="AF1732" s="93"/>
      <c r="AG1732" s="93"/>
      <c r="AH1732" s="93"/>
      <c r="AI1732" s="93"/>
      <c r="AJ1732" s="93"/>
    </row>
    <row r="1733" spans="30:36" ht="18">
      <c r="AD1733" s="93"/>
      <c r="AE1733" s="214"/>
      <c r="AF1733" s="93"/>
      <c r="AG1733" s="93"/>
      <c r="AH1733" s="93"/>
      <c r="AI1733" s="93"/>
      <c r="AJ1733" s="93"/>
    </row>
    <row r="1734" spans="30:36" ht="18">
      <c r="AD1734" s="93"/>
      <c r="AE1734" s="214"/>
      <c r="AF1734" s="93"/>
      <c r="AG1734" s="93"/>
      <c r="AH1734" s="93"/>
      <c r="AI1734" s="93"/>
      <c r="AJ1734" s="93"/>
    </row>
    <row r="1735" spans="30:36" ht="18">
      <c r="AD1735" s="93"/>
      <c r="AE1735" s="214"/>
      <c r="AF1735" s="93"/>
      <c r="AG1735" s="93"/>
      <c r="AH1735" s="93"/>
      <c r="AI1735" s="93"/>
      <c r="AJ1735" s="93"/>
    </row>
    <row r="1736" spans="30:36" ht="18">
      <c r="AD1736" s="93"/>
      <c r="AE1736" s="214"/>
      <c r="AF1736" s="93"/>
      <c r="AG1736" s="93"/>
      <c r="AH1736" s="93"/>
      <c r="AI1736" s="93"/>
      <c r="AJ1736" s="93"/>
    </row>
    <row r="1737" spans="30:36" ht="18">
      <c r="AD1737" s="93"/>
      <c r="AE1737" s="214"/>
      <c r="AF1737" s="93"/>
      <c r="AG1737" s="93"/>
      <c r="AH1737" s="93"/>
      <c r="AI1737" s="93"/>
      <c r="AJ1737" s="93"/>
    </row>
    <row r="1738" spans="30:36" ht="18">
      <c r="AD1738" s="93"/>
      <c r="AE1738" s="214"/>
      <c r="AF1738" s="93"/>
      <c r="AG1738" s="93"/>
      <c r="AH1738" s="93"/>
      <c r="AI1738" s="93"/>
      <c r="AJ1738" s="93"/>
    </row>
    <row r="1739" spans="30:36" ht="18">
      <c r="AD1739" s="93"/>
      <c r="AE1739" s="214"/>
      <c r="AF1739" s="93"/>
      <c r="AG1739" s="93"/>
      <c r="AH1739" s="93"/>
      <c r="AI1739" s="93"/>
      <c r="AJ1739" s="93"/>
    </row>
    <row r="1740" spans="30:36" ht="18">
      <c r="AD1740" s="93"/>
      <c r="AE1740" s="214"/>
      <c r="AF1740" s="93"/>
      <c r="AG1740" s="93"/>
      <c r="AH1740" s="93"/>
      <c r="AI1740" s="93"/>
      <c r="AJ1740" s="93"/>
    </row>
    <row r="1741" spans="30:36" ht="18">
      <c r="AD1741" s="93"/>
      <c r="AE1741" s="214"/>
      <c r="AF1741" s="93"/>
      <c r="AG1741" s="93"/>
      <c r="AH1741" s="93"/>
      <c r="AI1741" s="93"/>
      <c r="AJ1741" s="93"/>
    </row>
    <row r="1742" spans="30:36" ht="18">
      <c r="AD1742" s="93"/>
      <c r="AE1742" s="214"/>
      <c r="AF1742" s="93"/>
      <c r="AG1742" s="93"/>
      <c r="AH1742" s="93"/>
      <c r="AI1742" s="93"/>
      <c r="AJ1742" s="93"/>
    </row>
    <row r="1743" spans="30:36" ht="18">
      <c r="AD1743" s="93"/>
      <c r="AE1743" s="214"/>
      <c r="AF1743" s="93"/>
      <c r="AG1743" s="93"/>
      <c r="AH1743" s="93"/>
      <c r="AI1743" s="93"/>
      <c r="AJ1743" s="93"/>
    </row>
    <row r="1744" spans="30:36" ht="18">
      <c r="AD1744" s="93"/>
      <c r="AE1744" s="214"/>
      <c r="AF1744" s="93"/>
      <c r="AG1744" s="93"/>
      <c r="AH1744" s="93"/>
      <c r="AI1744" s="93"/>
      <c r="AJ1744" s="93"/>
    </row>
    <row r="1745" spans="30:36" ht="18">
      <c r="AD1745" s="93"/>
      <c r="AE1745" s="214"/>
      <c r="AF1745" s="93"/>
      <c r="AG1745" s="93"/>
      <c r="AH1745" s="93"/>
      <c r="AI1745" s="93"/>
      <c r="AJ1745" s="93"/>
    </row>
    <row r="1746" spans="30:36" ht="18">
      <c r="AD1746" s="93"/>
      <c r="AE1746" s="214"/>
      <c r="AF1746" s="93"/>
      <c r="AG1746" s="93"/>
      <c r="AH1746" s="93"/>
      <c r="AI1746" s="93"/>
      <c r="AJ1746" s="93"/>
    </row>
    <row r="1747" spans="30:36" ht="18">
      <c r="AD1747" s="93"/>
      <c r="AE1747" s="214"/>
      <c r="AF1747" s="93"/>
      <c r="AG1747" s="93"/>
      <c r="AH1747" s="93"/>
      <c r="AI1747" s="93"/>
      <c r="AJ1747" s="93"/>
    </row>
    <row r="1748" spans="30:36" ht="18">
      <c r="AD1748" s="93"/>
      <c r="AE1748" s="215"/>
      <c r="AF1748" s="93"/>
      <c r="AG1748" s="93"/>
      <c r="AH1748" s="93"/>
      <c r="AI1748" s="93"/>
      <c r="AJ1748" s="93"/>
    </row>
    <row r="1749" spans="30:36" ht="18">
      <c r="AD1749" s="93"/>
      <c r="AE1749" s="214"/>
      <c r="AF1749" s="93"/>
      <c r="AG1749" s="93"/>
      <c r="AH1749" s="93"/>
      <c r="AI1749" s="93"/>
      <c r="AJ1749" s="93"/>
    </row>
    <row r="1750" spans="30:36" ht="18">
      <c r="AD1750" s="93"/>
      <c r="AE1750" s="214"/>
      <c r="AF1750" s="93"/>
      <c r="AG1750" s="93"/>
      <c r="AH1750" s="93"/>
      <c r="AI1750" s="93"/>
      <c r="AJ1750" s="93"/>
    </row>
    <row r="1751" spans="30:36" ht="18">
      <c r="AD1751" s="93"/>
      <c r="AE1751" s="214"/>
      <c r="AF1751" s="93"/>
      <c r="AG1751" s="93"/>
      <c r="AH1751" s="93"/>
      <c r="AI1751" s="93"/>
      <c r="AJ1751" s="93"/>
    </row>
    <row r="1752" spans="30:36" ht="18">
      <c r="AD1752" s="93"/>
      <c r="AE1752" s="214"/>
      <c r="AF1752" s="93"/>
      <c r="AG1752" s="93"/>
      <c r="AH1752" s="93"/>
      <c r="AI1752" s="93"/>
      <c r="AJ1752" s="93"/>
    </row>
    <row r="1753" spans="30:36" ht="18">
      <c r="AD1753" s="93"/>
      <c r="AE1753" s="214"/>
      <c r="AF1753" s="93"/>
      <c r="AG1753" s="93"/>
      <c r="AH1753" s="93"/>
      <c r="AI1753" s="93"/>
      <c r="AJ1753" s="93"/>
    </row>
    <row r="1754" spans="30:36" ht="18">
      <c r="AD1754" s="93"/>
      <c r="AE1754" s="214"/>
      <c r="AF1754" s="93"/>
      <c r="AG1754" s="93"/>
      <c r="AH1754" s="93"/>
      <c r="AI1754" s="93"/>
      <c r="AJ1754" s="93"/>
    </row>
    <row r="1755" spans="30:36" ht="18">
      <c r="AD1755" s="93"/>
      <c r="AE1755" s="214"/>
      <c r="AF1755" s="93"/>
      <c r="AG1755" s="93"/>
      <c r="AH1755" s="93"/>
      <c r="AI1755" s="93"/>
      <c r="AJ1755" s="93"/>
    </row>
    <row r="1756" spans="30:36" ht="18">
      <c r="AD1756" s="93"/>
      <c r="AE1756" s="214"/>
      <c r="AF1756" s="93"/>
      <c r="AG1756" s="93"/>
      <c r="AH1756" s="93"/>
      <c r="AI1756" s="93"/>
      <c r="AJ1756" s="93"/>
    </row>
    <row r="1757" spans="30:36" ht="18">
      <c r="AD1757" s="93"/>
      <c r="AE1757" s="214"/>
      <c r="AF1757" s="93"/>
      <c r="AG1757" s="93"/>
      <c r="AH1757" s="93"/>
      <c r="AI1757" s="93"/>
      <c r="AJ1757" s="93"/>
    </row>
    <row r="1758" spans="30:36" ht="18">
      <c r="AD1758" s="93"/>
      <c r="AE1758" s="214"/>
      <c r="AF1758" s="93"/>
      <c r="AG1758" s="93"/>
      <c r="AH1758" s="93"/>
      <c r="AI1758" s="93"/>
      <c r="AJ1758" s="93"/>
    </row>
    <row r="1759" spans="30:36" ht="18">
      <c r="AD1759" s="93"/>
      <c r="AE1759" s="214"/>
      <c r="AF1759" s="93"/>
      <c r="AG1759" s="93"/>
      <c r="AH1759" s="93"/>
      <c r="AI1759" s="93"/>
      <c r="AJ1759" s="93"/>
    </row>
    <row r="1760" spans="30:36" ht="18">
      <c r="AD1760" s="93"/>
      <c r="AE1760" s="214"/>
      <c r="AF1760" s="93"/>
      <c r="AG1760" s="93"/>
      <c r="AH1760" s="93"/>
      <c r="AI1760" s="93"/>
      <c r="AJ1760" s="93"/>
    </row>
    <row r="1761" spans="30:36" ht="18">
      <c r="AD1761" s="93"/>
      <c r="AE1761" s="214"/>
      <c r="AF1761" s="93"/>
      <c r="AG1761" s="93"/>
      <c r="AH1761" s="93"/>
      <c r="AI1761" s="93"/>
      <c r="AJ1761" s="93"/>
    </row>
    <row r="1762" spans="30:36" ht="18">
      <c r="AD1762" s="93"/>
      <c r="AE1762" s="214"/>
      <c r="AF1762" s="93"/>
      <c r="AG1762" s="93"/>
      <c r="AH1762" s="93"/>
      <c r="AI1762" s="93"/>
      <c r="AJ1762" s="93"/>
    </row>
    <row r="1763" spans="30:36" ht="18">
      <c r="AD1763" s="93"/>
      <c r="AE1763" s="214"/>
      <c r="AF1763" s="93"/>
      <c r="AG1763" s="93"/>
      <c r="AH1763" s="93"/>
      <c r="AI1763" s="93"/>
      <c r="AJ1763" s="93"/>
    </row>
    <row r="1764" spans="30:36" ht="18">
      <c r="AD1764" s="93"/>
      <c r="AE1764" s="214"/>
      <c r="AF1764" s="93"/>
      <c r="AG1764" s="93"/>
      <c r="AH1764" s="93"/>
      <c r="AI1764" s="93"/>
      <c r="AJ1764" s="93"/>
    </row>
    <row r="1765" spans="30:36" ht="18">
      <c r="AD1765" s="93"/>
      <c r="AE1765" s="214"/>
      <c r="AF1765" s="93"/>
      <c r="AG1765" s="93"/>
      <c r="AH1765" s="93"/>
      <c r="AI1765" s="93"/>
      <c r="AJ1765" s="93"/>
    </row>
    <row r="1766" spans="30:36" ht="18">
      <c r="AD1766" s="93"/>
      <c r="AE1766" s="214"/>
      <c r="AF1766" s="93"/>
      <c r="AG1766" s="93"/>
      <c r="AH1766" s="93"/>
      <c r="AI1766" s="93"/>
      <c r="AJ1766" s="93"/>
    </row>
    <row r="1767" spans="30:36" ht="18">
      <c r="AD1767" s="93"/>
      <c r="AE1767" s="214"/>
      <c r="AF1767" s="93"/>
      <c r="AG1767" s="93"/>
      <c r="AH1767" s="93"/>
      <c r="AI1767" s="93"/>
      <c r="AJ1767" s="93"/>
    </row>
    <row r="1768" spans="30:36" ht="18">
      <c r="AD1768" s="93"/>
      <c r="AE1768" s="214"/>
      <c r="AF1768" s="93"/>
      <c r="AG1768" s="93"/>
      <c r="AH1768" s="93"/>
      <c r="AI1768" s="93"/>
      <c r="AJ1768" s="93"/>
    </row>
    <row r="1769" spans="30:36" ht="18">
      <c r="AD1769" s="93"/>
      <c r="AE1769" s="214"/>
      <c r="AF1769" s="93"/>
      <c r="AG1769" s="93"/>
      <c r="AH1769" s="93"/>
      <c r="AI1769" s="93"/>
      <c r="AJ1769" s="93"/>
    </row>
    <row r="1770" spans="30:36" ht="18">
      <c r="AD1770" s="93"/>
      <c r="AE1770" s="214"/>
      <c r="AF1770" s="93"/>
      <c r="AG1770" s="93"/>
      <c r="AH1770" s="93"/>
      <c r="AI1770" s="93"/>
      <c r="AJ1770" s="93"/>
    </row>
    <row r="1771" spans="30:36" ht="18">
      <c r="AD1771" s="93"/>
      <c r="AE1771" s="214"/>
      <c r="AF1771" s="93"/>
      <c r="AG1771" s="93"/>
      <c r="AH1771" s="93"/>
      <c r="AI1771" s="93"/>
      <c r="AJ1771" s="93"/>
    </row>
    <row r="1772" spans="30:36" ht="18">
      <c r="AD1772" s="93"/>
      <c r="AE1772" s="214"/>
      <c r="AF1772" s="93"/>
      <c r="AG1772" s="93"/>
      <c r="AH1772" s="93"/>
      <c r="AI1772" s="93"/>
      <c r="AJ1772" s="93"/>
    </row>
    <row r="1773" spans="30:36" ht="18">
      <c r="AD1773" s="93"/>
      <c r="AE1773" s="214"/>
      <c r="AF1773" s="93"/>
      <c r="AG1773" s="93"/>
      <c r="AH1773" s="93"/>
      <c r="AI1773" s="93"/>
      <c r="AJ1773" s="93"/>
    </row>
    <row r="1774" spans="30:36" ht="18">
      <c r="AD1774" s="93"/>
      <c r="AE1774" s="214"/>
      <c r="AF1774" s="93"/>
      <c r="AG1774" s="93"/>
      <c r="AH1774" s="93"/>
      <c r="AI1774" s="93"/>
      <c r="AJ1774" s="93"/>
    </row>
    <row r="1775" spans="30:36" ht="18">
      <c r="AD1775" s="93"/>
      <c r="AE1775" s="214"/>
      <c r="AF1775" s="93"/>
      <c r="AG1775" s="93"/>
      <c r="AH1775" s="93"/>
      <c r="AI1775" s="93"/>
      <c r="AJ1775" s="93"/>
    </row>
    <row r="1776" spans="30:36" ht="18">
      <c r="AD1776" s="93"/>
      <c r="AE1776" s="214"/>
      <c r="AF1776" s="93"/>
      <c r="AG1776" s="93"/>
      <c r="AH1776" s="93"/>
      <c r="AI1776" s="93"/>
      <c r="AJ1776" s="93"/>
    </row>
    <row r="1777" spans="30:36" ht="18">
      <c r="AD1777" s="93"/>
      <c r="AE1777" s="214"/>
      <c r="AF1777" s="93"/>
      <c r="AG1777" s="93"/>
      <c r="AH1777" s="93"/>
      <c r="AI1777" s="93"/>
      <c r="AJ1777" s="93"/>
    </row>
    <row r="1778" spans="30:36" ht="18">
      <c r="AD1778" s="93"/>
      <c r="AE1778" s="214"/>
      <c r="AF1778" s="93"/>
      <c r="AG1778" s="93"/>
      <c r="AH1778" s="93"/>
      <c r="AI1778" s="93"/>
      <c r="AJ1778" s="93"/>
    </row>
    <row r="1779" spans="30:36" ht="18">
      <c r="AD1779" s="93"/>
      <c r="AE1779" s="214"/>
      <c r="AF1779" s="93"/>
      <c r="AG1779" s="93"/>
      <c r="AH1779" s="93"/>
      <c r="AI1779" s="93"/>
      <c r="AJ1779" s="93"/>
    </row>
    <row r="1780" spans="30:36" ht="18">
      <c r="AD1780" s="93"/>
      <c r="AE1780" s="214"/>
      <c r="AF1780" s="93"/>
      <c r="AG1780" s="93"/>
      <c r="AH1780" s="93"/>
      <c r="AI1780" s="93"/>
      <c r="AJ1780" s="93"/>
    </row>
    <row r="1781" spans="30:36" ht="18">
      <c r="AD1781" s="93"/>
      <c r="AE1781" s="214"/>
      <c r="AF1781" s="93"/>
      <c r="AG1781" s="93"/>
      <c r="AH1781" s="93"/>
      <c r="AI1781" s="93"/>
      <c r="AJ1781" s="93"/>
    </row>
    <row r="1782" spans="30:36" ht="18">
      <c r="AD1782" s="93"/>
      <c r="AE1782" s="214"/>
      <c r="AF1782" s="93"/>
      <c r="AG1782" s="93"/>
      <c r="AH1782" s="93"/>
      <c r="AI1782" s="93"/>
      <c r="AJ1782" s="93"/>
    </row>
    <row r="1783" spans="30:36" ht="18">
      <c r="AD1783" s="93"/>
      <c r="AE1783" s="214"/>
      <c r="AF1783" s="93"/>
      <c r="AG1783" s="93"/>
      <c r="AH1783" s="93"/>
      <c r="AI1783" s="93"/>
      <c r="AJ1783" s="93"/>
    </row>
    <row r="1784" spans="30:36" ht="18">
      <c r="AD1784" s="93"/>
      <c r="AE1784" s="214"/>
      <c r="AF1784" s="93"/>
      <c r="AG1784" s="93"/>
      <c r="AH1784" s="93"/>
      <c r="AI1784" s="93"/>
      <c r="AJ1784" s="93"/>
    </row>
    <row r="1785" spans="30:36" ht="18">
      <c r="AD1785" s="93"/>
      <c r="AE1785" s="215"/>
      <c r="AF1785" s="93"/>
      <c r="AG1785" s="93"/>
      <c r="AH1785" s="93"/>
      <c r="AI1785" s="93"/>
      <c r="AJ1785" s="93"/>
    </row>
    <row r="1786" spans="30:36" ht="18">
      <c r="AD1786" s="93"/>
      <c r="AE1786" s="214"/>
      <c r="AF1786" s="93"/>
      <c r="AG1786" s="93"/>
      <c r="AH1786" s="93"/>
      <c r="AI1786" s="93"/>
      <c r="AJ1786" s="93"/>
    </row>
    <row r="1787" spans="30:36" ht="18">
      <c r="AD1787" s="93"/>
      <c r="AE1787" s="214"/>
      <c r="AF1787" s="93"/>
      <c r="AG1787" s="93"/>
      <c r="AH1787" s="93"/>
      <c r="AI1787" s="93"/>
      <c r="AJ1787" s="93"/>
    </row>
    <row r="1788" spans="30:36" ht="18">
      <c r="AD1788" s="93"/>
      <c r="AE1788" s="214"/>
      <c r="AF1788" s="93"/>
      <c r="AG1788" s="93"/>
      <c r="AH1788" s="93"/>
      <c r="AI1788" s="93"/>
      <c r="AJ1788" s="93"/>
    </row>
    <row r="1789" spans="30:36" ht="18">
      <c r="AD1789" s="93"/>
      <c r="AE1789" s="214"/>
      <c r="AF1789" s="93"/>
      <c r="AG1789" s="93"/>
      <c r="AH1789" s="93"/>
      <c r="AI1789" s="93"/>
      <c r="AJ1789" s="93"/>
    </row>
    <row r="1790" spans="30:36" ht="18">
      <c r="AD1790" s="93"/>
      <c r="AE1790" s="214"/>
      <c r="AF1790" s="93"/>
      <c r="AG1790" s="93"/>
      <c r="AH1790" s="93"/>
      <c r="AI1790" s="93"/>
      <c r="AJ1790" s="93"/>
    </row>
    <row r="1791" spans="30:36" ht="18">
      <c r="AD1791" s="93"/>
      <c r="AE1791" s="214"/>
      <c r="AF1791" s="93"/>
      <c r="AG1791" s="93"/>
      <c r="AH1791" s="93"/>
      <c r="AI1791" s="93"/>
      <c r="AJ1791" s="93"/>
    </row>
    <row r="1792" spans="30:36" ht="18">
      <c r="AD1792" s="93"/>
      <c r="AE1792" s="214"/>
      <c r="AF1792" s="93"/>
      <c r="AG1792" s="93"/>
      <c r="AH1792" s="93"/>
      <c r="AI1792" s="93"/>
      <c r="AJ1792" s="93"/>
    </row>
    <row r="1793" spans="30:36" ht="18">
      <c r="AD1793" s="93"/>
      <c r="AE1793" s="214"/>
      <c r="AF1793" s="93"/>
      <c r="AG1793" s="93"/>
      <c r="AH1793" s="93"/>
      <c r="AI1793" s="93"/>
      <c r="AJ1793" s="93"/>
    </row>
    <row r="1794" spans="30:36" ht="18">
      <c r="AD1794" s="93"/>
      <c r="AE1794" s="214"/>
      <c r="AF1794" s="93"/>
      <c r="AG1794" s="93"/>
      <c r="AH1794" s="93"/>
      <c r="AI1794" s="93"/>
      <c r="AJ1794" s="93"/>
    </row>
    <row r="1795" spans="30:36" ht="18">
      <c r="AD1795" s="93"/>
      <c r="AE1795" s="214"/>
      <c r="AF1795" s="93"/>
      <c r="AG1795" s="93"/>
      <c r="AH1795" s="93"/>
      <c r="AI1795" s="93"/>
      <c r="AJ1795" s="93"/>
    </row>
    <row r="1796" spans="30:36" ht="18">
      <c r="AD1796" s="93"/>
      <c r="AE1796" s="214"/>
      <c r="AF1796" s="93"/>
      <c r="AG1796" s="93"/>
      <c r="AH1796" s="93"/>
      <c r="AI1796" s="93"/>
      <c r="AJ1796" s="93"/>
    </row>
    <row r="1797" spans="30:36" ht="18">
      <c r="AD1797" s="93"/>
      <c r="AE1797" s="214"/>
      <c r="AF1797" s="93"/>
      <c r="AG1797" s="93"/>
      <c r="AH1797" s="93"/>
      <c r="AI1797" s="93"/>
      <c r="AJ1797" s="93"/>
    </row>
    <row r="1798" spans="30:36" ht="18">
      <c r="AD1798" s="93"/>
      <c r="AE1798" s="214"/>
      <c r="AF1798" s="93"/>
      <c r="AG1798" s="93"/>
      <c r="AH1798" s="93"/>
      <c r="AI1798" s="93"/>
      <c r="AJ1798" s="93"/>
    </row>
    <row r="1799" spans="30:36" ht="18">
      <c r="AD1799" s="93"/>
      <c r="AE1799" s="214"/>
      <c r="AF1799" s="93"/>
      <c r="AG1799" s="93"/>
      <c r="AH1799" s="93"/>
      <c r="AI1799" s="93"/>
      <c r="AJ1799" s="93"/>
    </row>
    <row r="1800" spans="30:36" ht="18">
      <c r="AD1800" s="93"/>
      <c r="AE1800" s="215"/>
      <c r="AF1800" s="93"/>
      <c r="AG1800" s="93"/>
      <c r="AH1800" s="93"/>
      <c r="AI1800" s="93"/>
      <c r="AJ1800" s="93"/>
    </row>
    <row r="1801" spans="30:36" ht="18">
      <c r="AD1801" s="93"/>
      <c r="AE1801" s="214"/>
      <c r="AF1801" s="93"/>
      <c r="AG1801" s="93"/>
      <c r="AH1801" s="93"/>
      <c r="AI1801" s="93"/>
      <c r="AJ1801" s="93"/>
    </row>
    <row r="1802" spans="30:36" ht="18">
      <c r="AD1802" s="93"/>
      <c r="AE1802" s="214"/>
      <c r="AF1802" s="93"/>
      <c r="AG1802" s="93"/>
      <c r="AH1802" s="93"/>
      <c r="AI1802" s="93"/>
      <c r="AJ1802" s="93"/>
    </row>
    <row r="1803" spans="30:36" ht="18">
      <c r="AD1803" s="93"/>
      <c r="AE1803" s="214"/>
      <c r="AF1803" s="93"/>
      <c r="AG1803" s="93"/>
      <c r="AH1803" s="93"/>
      <c r="AI1803" s="93"/>
      <c r="AJ1803" s="93"/>
    </row>
    <row r="1804" spans="30:36" ht="18">
      <c r="AD1804" s="93"/>
      <c r="AE1804" s="214"/>
      <c r="AF1804" s="93"/>
      <c r="AG1804" s="93"/>
      <c r="AH1804" s="93"/>
      <c r="AI1804" s="93"/>
      <c r="AJ1804" s="93"/>
    </row>
    <row r="1805" spans="30:36" ht="18">
      <c r="AD1805" s="93"/>
      <c r="AE1805" s="214"/>
      <c r="AF1805" s="93"/>
      <c r="AG1805" s="93"/>
      <c r="AH1805" s="93"/>
      <c r="AI1805" s="93"/>
      <c r="AJ1805" s="93"/>
    </row>
    <row r="1806" spans="30:36" ht="18">
      <c r="AD1806" s="93"/>
      <c r="AE1806" s="214"/>
      <c r="AF1806" s="93"/>
      <c r="AG1806" s="93"/>
      <c r="AH1806" s="93"/>
      <c r="AI1806" s="93"/>
      <c r="AJ1806" s="93"/>
    </row>
    <row r="1807" spans="30:36" ht="18">
      <c r="AD1807" s="93"/>
      <c r="AE1807" s="215"/>
      <c r="AF1807" s="93"/>
      <c r="AG1807" s="93"/>
      <c r="AH1807" s="93"/>
      <c r="AI1807" s="93"/>
      <c r="AJ1807" s="93"/>
    </row>
    <row r="1808" spans="30:36" ht="18">
      <c r="AD1808" s="93"/>
      <c r="AE1808" s="214"/>
      <c r="AF1808" s="93"/>
      <c r="AG1808" s="93"/>
      <c r="AH1808" s="93"/>
      <c r="AI1808" s="93"/>
      <c r="AJ1808" s="93"/>
    </row>
    <row r="1809" spans="30:36" ht="18">
      <c r="AD1809" s="93"/>
      <c r="AE1809" s="214"/>
      <c r="AF1809" s="93"/>
      <c r="AG1809" s="93"/>
      <c r="AH1809" s="93"/>
      <c r="AI1809" s="93"/>
      <c r="AJ1809" s="93"/>
    </row>
    <row r="1810" spans="30:36" ht="18">
      <c r="AD1810" s="93"/>
      <c r="AE1810" s="214"/>
      <c r="AF1810" s="93"/>
      <c r="AG1810" s="93"/>
      <c r="AH1810" s="93"/>
      <c r="AI1810" s="93"/>
      <c r="AJ1810" s="93"/>
    </row>
    <row r="1811" spans="30:36" ht="18">
      <c r="AD1811" s="93"/>
      <c r="AE1811" s="214"/>
      <c r="AF1811" s="93"/>
      <c r="AG1811" s="93"/>
      <c r="AH1811" s="93"/>
      <c r="AI1811" s="93"/>
      <c r="AJ1811" s="93"/>
    </row>
    <row r="1812" spans="30:36" ht="18">
      <c r="AD1812" s="93"/>
      <c r="AE1812" s="214"/>
      <c r="AF1812" s="93"/>
      <c r="AG1812" s="93"/>
      <c r="AH1812" s="93"/>
      <c r="AI1812" s="93"/>
      <c r="AJ1812" s="93"/>
    </row>
    <row r="1813" spans="30:36" ht="18">
      <c r="AD1813" s="93"/>
      <c r="AE1813" s="214"/>
      <c r="AF1813" s="93"/>
      <c r="AG1813" s="93"/>
      <c r="AH1813" s="93"/>
      <c r="AI1813" s="93"/>
      <c r="AJ1813" s="93"/>
    </row>
    <row r="1814" spans="30:36" ht="18">
      <c r="AD1814" s="93"/>
      <c r="AE1814" s="214"/>
      <c r="AF1814" s="93"/>
      <c r="AG1814" s="93"/>
      <c r="AH1814" s="93"/>
      <c r="AI1814" s="93"/>
      <c r="AJ1814" s="93"/>
    </row>
    <row r="1815" spans="30:36" ht="18">
      <c r="AD1815" s="93"/>
      <c r="AE1815" s="214"/>
      <c r="AF1815" s="93"/>
      <c r="AG1815" s="93"/>
      <c r="AH1815" s="93"/>
      <c r="AI1815" s="93"/>
      <c r="AJ1815" s="93"/>
    </row>
    <row r="1816" spans="30:36" ht="18">
      <c r="AD1816" s="93"/>
      <c r="AE1816" s="214"/>
      <c r="AF1816" s="93"/>
      <c r="AG1816" s="93"/>
      <c r="AH1816" s="93"/>
      <c r="AI1816" s="93"/>
      <c r="AJ1816" s="93"/>
    </row>
    <row r="1817" spans="30:36" ht="18">
      <c r="AD1817" s="93"/>
      <c r="AE1817" s="214"/>
      <c r="AF1817" s="93"/>
      <c r="AG1817" s="93"/>
      <c r="AH1817" s="93"/>
      <c r="AI1817" s="93"/>
      <c r="AJ1817" s="93"/>
    </row>
    <row r="1818" spans="30:36" ht="18">
      <c r="AD1818" s="93"/>
      <c r="AE1818" s="214"/>
      <c r="AF1818" s="93"/>
      <c r="AG1818" s="93"/>
      <c r="AH1818" s="93"/>
      <c r="AI1818" s="93"/>
      <c r="AJ1818" s="93"/>
    </row>
    <row r="1819" spans="30:36" ht="18">
      <c r="AD1819" s="93"/>
      <c r="AE1819" s="214"/>
      <c r="AF1819" s="93"/>
      <c r="AG1819" s="93"/>
      <c r="AH1819" s="93"/>
      <c r="AI1819" s="93"/>
      <c r="AJ1819" s="93"/>
    </row>
    <row r="1820" spans="30:36" ht="18">
      <c r="AD1820" s="93"/>
      <c r="AE1820" s="214"/>
      <c r="AF1820" s="93"/>
      <c r="AG1820" s="93"/>
      <c r="AH1820" s="93"/>
      <c r="AI1820" s="93"/>
      <c r="AJ1820" s="93"/>
    </row>
    <row r="1821" spans="30:36" ht="18">
      <c r="AD1821" s="93"/>
      <c r="AE1821" s="214"/>
      <c r="AF1821" s="93"/>
      <c r="AG1821" s="93"/>
      <c r="AH1821" s="93"/>
      <c r="AI1821" s="93"/>
      <c r="AJ1821" s="93"/>
    </row>
    <row r="1822" spans="30:36" ht="18">
      <c r="AD1822" s="93"/>
      <c r="AE1822" s="214"/>
      <c r="AF1822" s="93"/>
      <c r="AG1822" s="93"/>
      <c r="AH1822" s="93"/>
      <c r="AI1822" s="93"/>
      <c r="AJ1822" s="93"/>
    </row>
    <row r="1823" spans="30:36" ht="18">
      <c r="AD1823" s="93"/>
      <c r="AE1823" s="214"/>
      <c r="AF1823" s="93"/>
      <c r="AG1823" s="93"/>
      <c r="AH1823" s="93"/>
      <c r="AI1823" s="93"/>
      <c r="AJ1823" s="93"/>
    </row>
    <row r="1824" spans="30:36" ht="18">
      <c r="AD1824" s="93"/>
      <c r="AE1824" s="214"/>
      <c r="AF1824" s="93"/>
      <c r="AG1824" s="93"/>
      <c r="AH1824" s="93"/>
      <c r="AI1824" s="93"/>
      <c r="AJ1824" s="93"/>
    </row>
    <row r="1825" spans="30:36" ht="18">
      <c r="AD1825" s="93"/>
      <c r="AE1825" s="214"/>
      <c r="AF1825" s="93"/>
      <c r="AG1825" s="93"/>
      <c r="AH1825" s="93"/>
      <c r="AI1825" s="93"/>
      <c r="AJ1825" s="93"/>
    </row>
    <row r="1826" spans="30:36" ht="18">
      <c r="AD1826" s="93"/>
      <c r="AE1826" s="214"/>
      <c r="AF1826" s="93"/>
      <c r="AG1826" s="93"/>
      <c r="AH1826" s="93"/>
      <c r="AI1826" s="93"/>
      <c r="AJ1826" s="93"/>
    </row>
    <row r="1827" spans="30:36" ht="18">
      <c r="AD1827" s="93"/>
      <c r="AE1827" s="214"/>
      <c r="AF1827" s="93"/>
      <c r="AG1827" s="93"/>
      <c r="AH1827" s="93"/>
      <c r="AI1827" s="93"/>
      <c r="AJ1827" s="93"/>
    </row>
    <row r="1828" spans="30:36" ht="18">
      <c r="AD1828" s="93"/>
      <c r="AE1828" s="214"/>
      <c r="AF1828" s="93"/>
      <c r="AG1828" s="93"/>
      <c r="AH1828" s="93"/>
      <c r="AI1828" s="93"/>
      <c r="AJ1828" s="93"/>
    </row>
    <row r="1829" spans="30:36" ht="18">
      <c r="AD1829" s="93"/>
      <c r="AE1829" s="214"/>
      <c r="AF1829" s="93"/>
      <c r="AG1829" s="93"/>
      <c r="AH1829" s="93"/>
      <c r="AI1829" s="93"/>
      <c r="AJ1829" s="93"/>
    </row>
    <row r="1830" spans="30:36" ht="18">
      <c r="AD1830" s="93"/>
      <c r="AE1830" s="214"/>
      <c r="AF1830" s="93"/>
      <c r="AG1830" s="93"/>
      <c r="AH1830" s="93"/>
      <c r="AI1830" s="93"/>
      <c r="AJ1830" s="93"/>
    </row>
    <row r="1831" spans="30:36" ht="18">
      <c r="AD1831" s="93"/>
      <c r="AE1831" s="214"/>
      <c r="AF1831" s="93"/>
      <c r="AG1831" s="93"/>
      <c r="AH1831" s="93"/>
      <c r="AI1831" s="93"/>
      <c r="AJ1831" s="93"/>
    </row>
    <row r="1832" spans="30:36" ht="18">
      <c r="AD1832" s="93"/>
      <c r="AE1832" s="214"/>
      <c r="AF1832" s="93"/>
      <c r="AG1832" s="93"/>
      <c r="AH1832" s="93"/>
      <c r="AI1832" s="93"/>
      <c r="AJ1832" s="93"/>
    </row>
    <row r="1833" spans="30:36" ht="18">
      <c r="AD1833" s="93"/>
      <c r="AE1833" s="215"/>
      <c r="AF1833" s="93"/>
      <c r="AG1833" s="93"/>
      <c r="AH1833" s="93"/>
      <c r="AI1833" s="93"/>
      <c r="AJ1833" s="93"/>
    </row>
    <row r="1834" spans="30:36" ht="18">
      <c r="AD1834" s="93"/>
      <c r="AE1834" s="214"/>
      <c r="AF1834" s="93"/>
      <c r="AG1834" s="93"/>
      <c r="AH1834" s="93"/>
      <c r="AI1834" s="93"/>
      <c r="AJ1834" s="93"/>
    </row>
    <row r="1835" spans="30:36" ht="18">
      <c r="AD1835" s="93"/>
      <c r="AE1835" s="214"/>
      <c r="AF1835" s="93"/>
      <c r="AG1835" s="93"/>
      <c r="AH1835" s="93"/>
      <c r="AI1835" s="93"/>
      <c r="AJ1835" s="93"/>
    </row>
    <row r="1836" spans="30:36" ht="18">
      <c r="AD1836" s="93"/>
      <c r="AE1836" s="215"/>
      <c r="AF1836" s="93"/>
      <c r="AG1836" s="93"/>
      <c r="AH1836" s="93"/>
      <c r="AI1836" s="93"/>
      <c r="AJ1836" s="93"/>
    </row>
    <row r="1837" spans="30:36" ht="18">
      <c r="AD1837" s="93"/>
      <c r="AE1837" s="214"/>
      <c r="AF1837" s="93"/>
      <c r="AG1837" s="93"/>
      <c r="AH1837" s="93"/>
      <c r="AI1837" s="93"/>
      <c r="AJ1837" s="93"/>
    </row>
    <row r="1838" spans="30:36" ht="18">
      <c r="AD1838" s="93"/>
      <c r="AE1838" s="214"/>
      <c r="AF1838" s="93"/>
      <c r="AG1838" s="93"/>
      <c r="AH1838" s="93"/>
      <c r="AI1838" s="93"/>
      <c r="AJ1838" s="93"/>
    </row>
    <row r="1839" spans="30:36" ht="18">
      <c r="AD1839" s="93"/>
      <c r="AE1839" s="214"/>
      <c r="AF1839" s="93"/>
      <c r="AG1839" s="93"/>
      <c r="AH1839" s="93"/>
      <c r="AI1839" s="93"/>
      <c r="AJ1839" s="93"/>
    </row>
    <row r="1840" spans="30:36" ht="18">
      <c r="AD1840" s="93"/>
      <c r="AE1840" s="214"/>
      <c r="AF1840" s="93"/>
      <c r="AG1840" s="93"/>
      <c r="AH1840" s="93"/>
      <c r="AI1840" s="93"/>
      <c r="AJ1840" s="93"/>
    </row>
    <row r="1841" spans="30:36" ht="18">
      <c r="AD1841" s="93"/>
      <c r="AE1841" s="214"/>
      <c r="AF1841" s="93"/>
      <c r="AG1841" s="93"/>
      <c r="AH1841" s="93"/>
      <c r="AI1841" s="93"/>
      <c r="AJ1841" s="93"/>
    </row>
    <row r="1842" spans="30:36" ht="18">
      <c r="AD1842" s="93"/>
      <c r="AE1842" s="214"/>
      <c r="AF1842" s="93"/>
      <c r="AG1842" s="93"/>
      <c r="AH1842" s="93"/>
      <c r="AI1842" s="93"/>
      <c r="AJ1842" s="93"/>
    </row>
    <row r="1843" spans="30:36" ht="18">
      <c r="AD1843" s="93"/>
      <c r="AE1843" s="215"/>
      <c r="AF1843" s="93"/>
      <c r="AG1843" s="93"/>
      <c r="AH1843" s="93"/>
      <c r="AI1843" s="93"/>
      <c r="AJ1843" s="93"/>
    </row>
    <row r="1844" spans="30:36" ht="18">
      <c r="AD1844" s="93"/>
      <c r="AE1844" s="214"/>
      <c r="AF1844" s="93"/>
      <c r="AG1844" s="93"/>
      <c r="AH1844" s="93"/>
      <c r="AI1844" s="93"/>
      <c r="AJ1844" s="93"/>
    </row>
    <row r="1845" spans="30:36" ht="18">
      <c r="AD1845" s="93"/>
      <c r="AE1845" s="214"/>
      <c r="AF1845" s="93"/>
      <c r="AG1845" s="93"/>
      <c r="AH1845" s="93"/>
      <c r="AI1845" s="93"/>
      <c r="AJ1845" s="93"/>
    </row>
    <row r="1846" spans="30:36" ht="18">
      <c r="AD1846" s="93"/>
      <c r="AE1846" s="214"/>
      <c r="AF1846" s="93"/>
      <c r="AG1846" s="93"/>
      <c r="AH1846" s="93"/>
      <c r="AI1846" s="93"/>
      <c r="AJ1846" s="93"/>
    </row>
    <row r="1847" spans="30:36" ht="18">
      <c r="AD1847" s="93"/>
      <c r="AE1847" s="214"/>
      <c r="AF1847" s="93"/>
      <c r="AG1847" s="93"/>
      <c r="AH1847" s="93"/>
      <c r="AI1847" s="93"/>
      <c r="AJ1847" s="93"/>
    </row>
    <row r="1848" spans="30:36" ht="18">
      <c r="AD1848" s="93"/>
      <c r="AE1848" s="214"/>
      <c r="AF1848" s="93"/>
      <c r="AG1848" s="93"/>
      <c r="AH1848" s="93"/>
      <c r="AI1848" s="93"/>
      <c r="AJ1848" s="93"/>
    </row>
    <row r="1849" spans="30:36" ht="18">
      <c r="AD1849" s="93"/>
      <c r="AE1849" s="214"/>
      <c r="AF1849" s="93"/>
      <c r="AG1849" s="93"/>
      <c r="AH1849" s="93"/>
      <c r="AI1849" s="93"/>
      <c r="AJ1849" s="93"/>
    </row>
    <row r="1850" spans="30:36" ht="18">
      <c r="AD1850" s="93"/>
      <c r="AE1850" s="214"/>
      <c r="AF1850" s="93"/>
      <c r="AG1850" s="93"/>
      <c r="AH1850" s="93"/>
      <c r="AI1850" s="93"/>
      <c r="AJ1850" s="93"/>
    </row>
    <row r="1851" spans="30:36" ht="18">
      <c r="AD1851" s="93"/>
      <c r="AE1851" s="214"/>
      <c r="AF1851" s="93"/>
      <c r="AG1851" s="93"/>
      <c r="AH1851" s="93"/>
      <c r="AI1851" s="93"/>
      <c r="AJ1851" s="93"/>
    </row>
    <row r="1852" spans="30:36" ht="18">
      <c r="AD1852" s="93"/>
      <c r="AE1852" s="214"/>
      <c r="AF1852" s="93"/>
      <c r="AG1852" s="93"/>
      <c r="AH1852" s="93"/>
      <c r="AI1852" s="93"/>
      <c r="AJ1852" s="93"/>
    </row>
    <row r="1853" spans="30:36" ht="18">
      <c r="AD1853" s="93"/>
      <c r="AE1853" s="214"/>
      <c r="AF1853" s="93"/>
      <c r="AG1853" s="93"/>
      <c r="AH1853" s="93"/>
      <c r="AI1853" s="93"/>
      <c r="AJ1853" s="93"/>
    </row>
    <row r="1854" spans="30:36" ht="18">
      <c r="AD1854" s="93"/>
      <c r="AE1854" s="214"/>
      <c r="AF1854" s="93"/>
      <c r="AG1854" s="93"/>
      <c r="AH1854" s="93"/>
      <c r="AI1854" s="93"/>
      <c r="AJ1854" s="93"/>
    </row>
    <row r="1855" spans="30:36" ht="18">
      <c r="AD1855" s="93"/>
      <c r="AE1855" s="214"/>
      <c r="AF1855" s="93"/>
      <c r="AG1855" s="93"/>
      <c r="AH1855" s="93"/>
      <c r="AI1855" s="93"/>
      <c r="AJ1855" s="93"/>
    </row>
    <row r="1856" spans="30:36" ht="18">
      <c r="AD1856" s="93"/>
      <c r="AE1856" s="214"/>
      <c r="AF1856" s="93"/>
      <c r="AG1856" s="93"/>
      <c r="AH1856" s="93"/>
      <c r="AI1856" s="93"/>
      <c r="AJ1856" s="93"/>
    </row>
    <row r="1857" spans="30:36" ht="18">
      <c r="AD1857" s="93"/>
      <c r="AE1857" s="214"/>
      <c r="AF1857" s="93"/>
      <c r="AG1857" s="93"/>
      <c r="AH1857" s="93"/>
      <c r="AI1857" s="93"/>
      <c r="AJ1857" s="93"/>
    </row>
    <row r="1858" spans="30:36" ht="18">
      <c r="AD1858" s="93"/>
      <c r="AE1858" s="214"/>
      <c r="AF1858" s="93"/>
      <c r="AG1858" s="93"/>
      <c r="AH1858" s="93"/>
      <c r="AI1858" s="93"/>
      <c r="AJ1858" s="93"/>
    </row>
    <row r="1859" spans="30:36" ht="18">
      <c r="AD1859" s="93"/>
      <c r="AE1859" s="214"/>
      <c r="AF1859" s="93"/>
      <c r="AG1859" s="93"/>
      <c r="AH1859" s="93"/>
      <c r="AI1859" s="93"/>
      <c r="AJ1859" s="93"/>
    </row>
    <row r="1860" spans="30:36" ht="18">
      <c r="AD1860" s="93"/>
      <c r="AE1860" s="214"/>
      <c r="AF1860" s="93"/>
      <c r="AG1860" s="93"/>
      <c r="AH1860" s="93"/>
      <c r="AI1860" s="93"/>
      <c r="AJ1860" s="93"/>
    </row>
    <row r="1861" spans="30:36" ht="18">
      <c r="AD1861" s="93"/>
      <c r="AE1861" s="214"/>
      <c r="AF1861" s="93"/>
      <c r="AG1861" s="93"/>
      <c r="AH1861" s="93"/>
      <c r="AI1861" s="93"/>
      <c r="AJ1861" s="93"/>
    </row>
    <row r="1862" spans="30:36" ht="18">
      <c r="AD1862" s="93"/>
      <c r="AE1862" s="214"/>
      <c r="AF1862" s="93"/>
      <c r="AG1862" s="93"/>
      <c r="AH1862" s="93"/>
      <c r="AI1862" s="93"/>
      <c r="AJ1862" s="93"/>
    </row>
    <row r="1863" spans="30:36" ht="18">
      <c r="AD1863" s="93"/>
      <c r="AE1863" s="214"/>
      <c r="AF1863" s="93"/>
      <c r="AG1863" s="93"/>
      <c r="AH1863" s="93"/>
      <c r="AI1863" s="93"/>
      <c r="AJ1863" s="93"/>
    </row>
    <row r="1864" spans="30:36" ht="18">
      <c r="AD1864" s="93"/>
      <c r="AE1864" s="214"/>
      <c r="AF1864" s="93"/>
      <c r="AG1864" s="93"/>
      <c r="AH1864" s="93"/>
      <c r="AI1864" s="93"/>
      <c r="AJ1864" s="93"/>
    </row>
    <row r="1865" spans="30:36" ht="18">
      <c r="AD1865" s="93"/>
      <c r="AE1865" s="214"/>
      <c r="AF1865" s="93"/>
      <c r="AG1865" s="93"/>
      <c r="AH1865" s="93"/>
      <c r="AI1865" s="93"/>
      <c r="AJ1865" s="93"/>
    </row>
    <row r="1866" spans="30:36" ht="18">
      <c r="AD1866" s="93"/>
      <c r="AE1866" s="214"/>
      <c r="AF1866" s="93"/>
      <c r="AG1866" s="93"/>
      <c r="AH1866" s="93"/>
      <c r="AI1866" s="93"/>
      <c r="AJ1866" s="93"/>
    </row>
    <row r="1867" spans="30:36" ht="18">
      <c r="AD1867" s="93"/>
      <c r="AE1867" s="214"/>
      <c r="AF1867" s="93"/>
      <c r="AG1867" s="93"/>
      <c r="AH1867" s="93"/>
      <c r="AI1867" s="93"/>
      <c r="AJ1867" s="93"/>
    </row>
    <row r="1868" spans="30:36" ht="18">
      <c r="AD1868" s="93"/>
      <c r="AE1868" s="214"/>
      <c r="AF1868" s="93"/>
      <c r="AG1868" s="93"/>
      <c r="AH1868" s="93"/>
      <c r="AI1868" s="93"/>
      <c r="AJ1868" s="93"/>
    </row>
    <row r="1869" spans="30:36" ht="18">
      <c r="AD1869" s="93"/>
      <c r="AE1869" s="214"/>
      <c r="AF1869" s="93"/>
      <c r="AG1869" s="93"/>
      <c r="AH1869" s="93"/>
      <c r="AI1869" s="93"/>
      <c r="AJ1869" s="93"/>
    </row>
    <row r="1870" spans="30:36" ht="18">
      <c r="AD1870" s="93"/>
      <c r="AE1870" s="214"/>
      <c r="AF1870" s="93"/>
      <c r="AG1870" s="93"/>
      <c r="AH1870" s="93"/>
      <c r="AI1870" s="93"/>
      <c r="AJ1870" s="93"/>
    </row>
    <row r="1871" spans="30:36" ht="18">
      <c r="AD1871" s="93"/>
      <c r="AE1871" s="214"/>
      <c r="AF1871" s="93"/>
      <c r="AG1871" s="93"/>
      <c r="AH1871" s="93"/>
      <c r="AI1871" s="93"/>
      <c r="AJ1871" s="93"/>
    </row>
    <row r="1872" spans="30:36" ht="18">
      <c r="AD1872" s="93"/>
      <c r="AE1872" s="214"/>
      <c r="AF1872" s="93"/>
      <c r="AG1872" s="93"/>
      <c r="AH1872" s="93"/>
      <c r="AI1872" s="93"/>
      <c r="AJ1872" s="93"/>
    </row>
    <row r="1873" spans="30:36" ht="18">
      <c r="AD1873" s="93"/>
      <c r="AE1873" s="214"/>
      <c r="AF1873" s="93"/>
      <c r="AG1873" s="93"/>
      <c r="AH1873" s="93"/>
      <c r="AI1873" s="93"/>
      <c r="AJ1873" s="93"/>
    </row>
    <row r="1874" spans="30:36" ht="18">
      <c r="AD1874" s="93"/>
      <c r="AE1874" s="214"/>
      <c r="AF1874" s="93"/>
      <c r="AG1874" s="93"/>
      <c r="AH1874" s="93"/>
      <c r="AI1874" s="93"/>
      <c r="AJ1874" s="93"/>
    </row>
    <row r="1875" spans="30:36" ht="18">
      <c r="AD1875" s="93"/>
      <c r="AE1875" s="214"/>
      <c r="AF1875" s="93"/>
      <c r="AG1875" s="93"/>
      <c r="AH1875" s="93"/>
      <c r="AI1875" s="93"/>
      <c r="AJ1875" s="93"/>
    </row>
    <row r="1876" spans="30:36" ht="18">
      <c r="AD1876" s="93"/>
      <c r="AE1876" s="214"/>
      <c r="AF1876" s="93"/>
      <c r="AG1876" s="93"/>
      <c r="AH1876" s="93"/>
      <c r="AI1876" s="93"/>
      <c r="AJ1876" s="93"/>
    </row>
    <row r="1877" spans="30:36" ht="18">
      <c r="AD1877" s="93"/>
      <c r="AE1877" s="214"/>
      <c r="AF1877" s="93"/>
      <c r="AG1877" s="93"/>
      <c r="AH1877" s="93"/>
      <c r="AI1877" s="93"/>
      <c r="AJ1877" s="93"/>
    </row>
    <row r="1878" spans="30:36" ht="18">
      <c r="AD1878" s="93"/>
      <c r="AE1878" s="214"/>
      <c r="AF1878" s="93"/>
      <c r="AG1878" s="93"/>
      <c r="AH1878" s="93"/>
      <c r="AI1878" s="93"/>
      <c r="AJ1878" s="93"/>
    </row>
    <row r="1879" spans="30:36" ht="18">
      <c r="AD1879" s="93"/>
      <c r="AE1879" s="214"/>
      <c r="AF1879" s="93"/>
      <c r="AG1879" s="93"/>
      <c r="AH1879" s="93"/>
      <c r="AI1879" s="93"/>
      <c r="AJ1879" s="93"/>
    </row>
    <row r="1880" spans="30:36" ht="18">
      <c r="AD1880" s="93"/>
      <c r="AE1880" s="214"/>
      <c r="AF1880" s="93"/>
      <c r="AG1880" s="93"/>
      <c r="AH1880" s="93"/>
      <c r="AI1880" s="93"/>
      <c r="AJ1880" s="93"/>
    </row>
    <row r="1881" spans="30:36" ht="18">
      <c r="AD1881" s="93"/>
      <c r="AE1881" s="214"/>
      <c r="AF1881" s="93"/>
      <c r="AG1881" s="93"/>
      <c r="AH1881" s="93"/>
      <c r="AI1881" s="93"/>
      <c r="AJ1881" s="93"/>
    </row>
    <row r="1882" spans="30:36" ht="18">
      <c r="AD1882" s="93"/>
      <c r="AE1882" s="214"/>
      <c r="AF1882" s="93"/>
      <c r="AG1882" s="93"/>
      <c r="AH1882" s="93"/>
      <c r="AI1882" s="93"/>
      <c r="AJ1882" s="93"/>
    </row>
    <row r="1883" spans="30:36" ht="18">
      <c r="AD1883" s="93"/>
      <c r="AE1883" s="214"/>
      <c r="AF1883" s="93"/>
      <c r="AG1883" s="93"/>
      <c r="AH1883" s="93"/>
      <c r="AI1883" s="93"/>
      <c r="AJ1883" s="93"/>
    </row>
    <row r="1884" spans="30:36" ht="18">
      <c r="AD1884" s="93"/>
      <c r="AE1884" s="214"/>
      <c r="AF1884" s="93"/>
      <c r="AG1884" s="93"/>
      <c r="AH1884" s="93"/>
      <c r="AI1884" s="93"/>
      <c r="AJ1884" s="93"/>
    </row>
    <row r="1885" spans="30:36" ht="18">
      <c r="AD1885" s="93"/>
      <c r="AE1885" s="214"/>
      <c r="AF1885" s="93"/>
      <c r="AG1885" s="93"/>
      <c r="AH1885" s="93"/>
      <c r="AI1885" s="93"/>
      <c r="AJ1885" s="93"/>
    </row>
    <row r="1886" spans="30:36" ht="18">
      <c r="AD1886" s="93"/>
      <c r="AE1886" s="214"/>
      <c r="AF1886" s="93"/>
      <c r="AG1886" s="93"/>
      <c r="AH1886" s="93"/>
      <c r="AI1886" s="93"/>
      <c r="AJ1886" s="93"/>
    </row>
    <row r="1887" spans="30:36" ht="18">
      <c r="AD1887" s="93"/>
      <c r="AE1887" s="214"/>
      <c r="AF1887" s="93"/>
      <c r="AG1887" s="93"/>
      <c r="AH1887" s="93"/>
      <c r="AI1887" s="93"/>
      <c r="AJ1887" s="93"/>
    </row>
    <row r="1888" spans="30:36" ht="18">
      <c r="AD1888" s="93"/>
      <c r="AE1888" s="214"/>
      <c r="AF1888" s="93"/>
      <c r="AG1888" s="93"/>
      <c r="AH1888" s="93"/>
      <c r="AI1888" s="93"/>
      <c r="AJ1888" s="93"/>
    </row>
    <row r="1889" spans="30:36" ht="18">
      <c r="AD1889" s="93"/>
      <c r="AE1889" s="214"/>
      <c r="AF1889" s="93"/>
      <c r="AG1889" s="93"/>
      <c r="AH1889" s="93"/>
      <c r="AI1889" s="93"/>
      <c r="AJ1889" s="93"/>
    </row>
    <row r="1890" spans="30:36" ht="18">
      <c r="AD1890" s="93"/>
      <c r="AE1890" s="214"/>
      <c r="AF1890" s="93"/>
      <c r="AG1890" s="93"/>
      <c r="AH1890" s="93"/>
      <c r="AI1890" s="93"/>
      <c r="AJ1890" s="93"/>
    </row>
    <row r="1891" spans="30:36" ht="18">
      <c r="AD1891" s="93"/>
      <c r="AE1891" s="214"/>
      <c r="AF1891" s="93"/>
      <c r="AG1891" s="93"/>
      <c r="AH1891" s="93"/>
      <c r="AI1891" s="93"/>
      <c r="AJ1891" s="93"/>
    </row>
    <row r="1892" spans="30:36" ht="18">
      <c r="AD1892" s="93"/>
      <c r="AE1892" s="214"/>
      <c r="AF1892" s="93"/>
      <c r="AG1892" s="93"/>
      <c r="AH1892" s="93"/>
      <c r="AI1892" s="93"/>
      <c r="AJ1892" s="93"/>
    </row>
    <row r="1893" spans="30:36" ht="18">
      <c r="AD1893" s="93"/>
      <c r="AE1893" s="214"/>
      <c r="AF1893" s="93"/>
      <c r="AG1893" s="93"/>
      <c r="AH1893" s="93"/>
      <c r="AI1893" s="93"/>
      <c r="AJ1893" s="93"/>
    </row>
    <row r="1894" spans="30:36" ht="18">
      <c r="AD1894" s="93"/>
      <c r="AE1894" s="214"/>
      <c r="AF1894" s="93"/>
      <c r="AG1894" s="93"/>
      <c r="AH1894" s="93"/>
      <c r="AI1894" s="93"/>
      <c r="AJ1894" s="93"/>
    </row>
    <row r="1895" spans="30:36" ht="18">
      <c r="AD1895" s="93"/>
      <c r="AE1895" s="214"/>
      <c r="AF1895" s="93"/>
      <c r="AG1895" s="93"/>
      <c r="AH1895" s="93"/>
      <c r="AI1895" s="93"/>
      <c r="AJ1895" s="93"/>
    </row>
    <row r="1896" spans="30:36" ht="18">
      <c r="AD1896" s="93"/>
      <c r="AE1896" s="214"/>
      <c r="AF1896" s="93"/>
      <c r="AG1896" s="93"/>
      <c r="AH1896" s="93"/>
      <c r="AI1896" s="93"/>
      <c r="AJ1896" s="93"/>
    </row>
    <row r="1897" spans="30:36" ht="18">
      <c r="AD1897" s="93"/>
      <c r="AE1897" s="214"/>
      <c r="AF1897" s="93"/>
      <c r="AG1897" s="93"/>
      <c r="AH1897" s="93"/>
      <c r="AI1897" s="93"/>
      <c r="AJ1897" s="93"/>
    </row>
    <row r="1898" spans="30:36" ht="18">
      <c r="AD1898" s="93"/>
      <c r="AE1898" s="214"/>
      <c r="AF1898" s="93"/>
      <c r="AG1898" s="93"/>
      <c r="AH1898" s="93"/>
      <c r="AI1898" s="93"/>
      <c r="AJ1898" s="93"/>
    </row>
    <row r="1899" spans="30:36" ht="18">
      <c r="AD1899" s="93"/>
      <c r="AE1899" s="214"/>
      <c r="AF1899" s="93"/>
      <c r="AG1899" s="93"/>
      <c r="AH1899" s="93"/>
      <c r="AI1899" s="93"/>
      <c r="AJ1899" s="93"/>
    </row>
    <row r="1900" spans="30:36" ht="18">
      <c r="AD1900" s="93"/>
      <c r="AE1900" s="214"/>
      <c r="AF1900" s="93"/>
      <c r="AG1900" s="93"/>
      <c r="AH1900" s="93"/>
      <c r="AI1900" s="93"/>
      <c r="AJ1900" s="93"/>
    </row>
    <row r="1901" spans="30:36" ht="18">
      <c r="AD1901" s="93"/>
      <c r="AE1901" s="214"/>
      <c r="AF1901" s="93"/>
      <c r="AG1901" s="93"/>
      <c r="AH1901" s="93"/>
      <c r="AI1901" s="93"/>
      <c r="AJ1901" s="93"/>
    </row>
    <row r="1902" spans="30:36" ht="18">
      <c r="AD1902" s="93"/>
      <c r="AE1902" s="214"/>
      <c r="AF1902" s="93"/>
      <c r="AG1902" s="93"/>
      <c r="AH1902" s="93"/>
      <c r="AI1902" s="93"/>
      <c r="AJ1902" s="93"/>
    </row>
    <row r="1903" spans="30:36" ht="18">
      <c r="AD1903" s="93"/>
      <c r="AE1903" s="214"/>
      <c r="AF1903" s="93"/>
      <c r="AG1903" s="93"/>
      <c r="AH1903" s="93"/>
      <c r="AI1903" s="93"/>
      <c r="AJ1903" s="93"/>
    </row>
    <row r="1904" spans="30:36" ht="18">
      <c r="AD1904" s="93"/>
      <c r="AE1904" s="214"/>
      <c r="AF1904" s="93"/>
      <c r="AG1904" s="93"/>
      <c r="AH1904" s="93"/>
      <c r="AI1904" s="93"/>
      <c r="AJ1904" s="93"/>
    </row>
    <row r="1905" spans="30:36" ht="18">
      <c r="AD1905" s="93"/>
      <c r="AE1905" s="214"/>
      <c r="AF1905" s="93"/>
      <c r="AG1905" s="93"/>
      <c r="AH1905" s="93"/>
      <c r="AI1905" s="93"/>
      <c r="AJ1905" s="93"/>
    </row>
    <row r="1906" spans="30:36" ht="18">
      <c r="AD1906" s="93"/>
      <c r="AE1906" s="214"/>
      <c r="AF1906" s="93"/>
      <c r="AG1906" s="93"/>
      <c r="AH1906" s="93"/>
      <c r="AI1906" s="93"/>
      <c r="AJ1906" s="93"/>
    </row>
    <row r="1907" spans="30:36" ht="18">
      <c r="AD1907" s="93"/>
      <c r="AE1907" s="214"/>
      <c r="AF1907" s="93"/>
      <c r="AG1907" s="93"/>
      <c r="AH1907" s="93"/>
      <c r="AI1907" s="93"/>
      <c r="AJ1907" s="93"/>
    </row>
    <row r="1908" spans="30:36" ht="18">
      <c r="AD1908" s="93"/>
      <c r="AE1908" s="214"/>
      <c r="AF1908" s="93"/>
      <c r="AG1908" s="93"/>
      <c r="AH1908" s="93"/>
      <c r="AI1908" s="93"/>
      <c r="AJ1908" s="93"/>
    </row>
    <row r="1909" spans="30:36" ht="18">
      <c r="AD1909" s="93"/>
      <c r="AE1909" s="214"/>
      <c r="AF1909" s="93"/>
      <c r="AG1909" s="93"/>
      <c r="AH1909" s="93"/>
      <c r="AI1909" s="93"/>
      <c r="AJ1909" s="93"/>
    </row>
    <row r="1910" spans="30:36" ht="18">
      <c r="AD1910" s="93"/>
      <c r="AE1910" s="214"/>
      <c r="AF1910" s="93"/>
      <c r="AG1910" s="93"/>
      <c r="AH1910" s="93"/>
      <c r="AI1910" s="93"/>
      <c r="AJ1910" s="93"/>
    </row>
    <row r="1911" spans="30:36" ht="18">
      <c r="AD1911" s="93"/>
      <c r="AE1911" s="214"/>
      <c r="AF1911" s="93"/>
      <c r="AG1911" s="93"/>
      <c r="AH1911" s="93"/>
      <c r="AI1911" s="93"/>
      <c r="AJ1911" s="93"/>
    </row>
    <row r="1912" spans="30:36" ht="18">
      <c r="AD1912" s="93"/>
      <c r="AE1912" s="214"/>
      <c r="AF1912" s="93"/>
      <c r="AG1912" s="93"/>
      <c r="AH1912" s="93"/>
      <c r="AI1912" s="93"/>
      <c r="AJ1912" s="93"/>
    </row>
    <row r="1913" spans="30:36" ht="18">
      <c r="AD1913" s="93"/>
      <c r="AE1913" s="214"/>
      <c r="AF1913" s="93"/>
      <c r="AG1913" s="93"/>
      <c r="AH1913" s="93"/>
      <c r="AI1913" s="93"/>
      <c r="AJ1913" s="93"/>
    </row>
    <row r="1914" spans="30:36" ht="18">
      <c r="AD1914" s="93"/>
      <c r="AE1914" s="214"/>
      <c r="AF1914" s="93"/>
      <c r="AG1914" s="93"/>
      <c r="AH1914" s="93"/>
      <c r="AI1914" s="93"/>
      <c r="AJ1914" s="93"/>
    </row>
    <row r="1915" spans="30:36" ht="18">
      <c r="AD1915" s="93"/>
      <c r="AE1915" s="214"/>
      <c r="AF1915" s="93"/>
      <c r="AG1915" s="93"/>
      <c r="AH1915" s="93"/>
      <c r="AI1915" s="93"/>
      <c r="AJ1915" s="93"/>
    </row>
    <row r="1916" spans="30:36" ht="18">
      <c r="AD1916" s="93"/>
      <c r="AE1916" s="214"/>
      <c r="AF1916" s="93"/>
      <c r="AG1916" s="93"/>
      <c r="AH1916" s="93"/>
      <c r="AI1916" s="93"/>
      <c r="AJ1916" s="93"/>
    </row>
    <row r="1917" spans="30:36" ht="18">
      <c r="AD1917" s="93"/>
      <c r="AE1917" s="214"/>
      <c r="AF1917" s="93"/>
      <c r="AG1917" s="93"/>
      <c r="AH1917" s="93"/>
      <c r="AI1917" s="93"/>
      <c r="AJ1917" s="93"/>
    </row>
    <row r="1918" spans="30:36" ht="18">
      <c r="AD1918" s="93"/>
      <c r="AE1918" s="214"/>
      <c r="AF1918" s="93"/>
      <c r="AG1918" s="93"/>
      <c r="AH1918" s="93"/>
      <c r="AI1918" s="93"/>
      <c r="AJ1918" s="93"/>
    </row>
    <row r="1919" spans="30:36" ht="18">
      <c r="AD1919" s="93"/>
      <c r="AE1919" s="214"/>
      <c r="AF1919" s="93"/>
      <c r="AG1919" s="93"/>
      <c r="AH1919" s="93"/>
      <c r="AI1919" s="93"/>
      <c r="AJ1919" s="93"/>
    </row>
    <row r="1920" spans="30:36" ht="18">
      <c r="AD1920" s="93"/>
      <c r="AE1920" s="214"/>
      <c r="AF1920" s="93"/>
      <c r="AG1920" s="93"/>
      <c r="AH1920" s="93"/>
      <c r="AI1920" s="93"/>
      <c r="AJ1920" s="93"/>
    </row>
    <row r="1921" spans="30:36" ht="18">
      <c r="AD1921" s="93"/>
      <c r="AE1921" s="214"/>
      <c r="AF1921" s="93"/>
      <c r="AG1921" s="93"/>
      <c r="AH1921" s="93"/>
      <c r="AI1921" s="93"/>
      <c r="AJ1921" s="93"/>
    </row>
    <row r="1922" spans="30:36" ht="18">
      <c r="AD1922" s="93"/>
      <c r="AE1922" s="214"/>
      <c r="AF1922" s="93"/>
      <c r="AG1922" s="93"/>
      <c r="AH1922" s="93"/>
      <c r="AI1922" s="93"/>
      <c r="AJ1922" s="93"/>
    </row>
    <row r="1923" spans="30:36" ht="18">
      <c r="AD1923" s="93"/>
      <c r="AE1923" s="214"/>
      <c r="AF1923" s="93"/>
      <c r="AG1923" s="93"/>
      <c r="AH1923" s="93"/>
      <c r="AI1923" s="93"/>
      <c r="AJ1923" s="93"/>
    </row>
    <row r="1924" spans="30:36" ht="18">
      <c r="AD1924" s="93"/>
      <c r="AE1924" s="214"/>
      <c r="AF1924" s="93"/>
      <c r="AG1924" s="93"/>
      <c r="AH1924" s="93"/>
      <c r="AI1924" s="93"/>
      <c r="AJ1924" s="93"/>
    </row>
    <row r="1925" spans="30:36" ht="18">
      <c r="AD1925" s="93"/>
      <c r="AE1925" s="214"/>
      <c r="AF1925" s="93"/>
      <c r="AG1925" s="93"/>
      <c r="AH1925" s="93"/>
      <c r="AI1925" s="93"/>
      <c r="AJ1925" s="93"/>
    </row>
    <row r="1926" spans="30:36" ht="18">
      <c r="AD1926" s="93"/>
      <c r="AE1926" s="214"/>
      <c r="AF1926" s="93"/>
      <c r="AG1926" s="93"/>
      <c r="AH1926" s="93"/>
      <c r="AI1926" s="93"/>
      <c r="AJ1926" s="93"/>
    </row>
    <row r="1927" spans="30:36" ht="18">
      <c r="AD1927" s="93"/>
      <c r="AE1927" s="214"/>
      <c r="AF1927" s="93"/>
      <c r="AG1927" s="93"/>
      <c r="AH1927" s="93"/>
      <c r="AI1927" s="93"/>
      <c r="AJ1927" s="93"/>
    </row>
    <row r="1928" spans="30:36" ht="18">
      <c r="AD1928" s="93"/>
      <c r="AE1928" s="214"/>
      <c r="AF1928" s="93"/>
      <c r="AG1928" s="93"/>
      <c r="AH1928" s="93"/>
      <c r="AI1928" s="93"/>
      <c r="AJ1928" s="93"/>
    </row>
    <row r="1929" spans="30:36" ht="18">
      <c r="AD1929" s="93"/>
      <c r="AE1929" s="214"/>
      <c r="AF1929" s="93"/>
      <c r="AG1929" s="93"/>
      <c r="AH1929" s="93"/>
      <c r="AI1929" s="93"/>
      <c r="AJ1929" s="93"/>
    </row>
    <row r="1930" spans="30:36" ht="18">
      <c r="AD1930" s="93"/>
      <c r="AE1930" s="214"/>
      <c r="AF1930" s="93"/>
      <c r="AG1930" s="93"/>
      <c r="AH1930" s="93"/>
      <c r="AI1930" s="93"/>
      <c r="AJ1930" s="93"/>
    </row>
    <row r="1931" spans="30:36" ht="18">
      <c r="AD1931" s="93"/>
      <c r="AE1931" s="214"/>
      <c r="AF1931" s="93"/>
      <c r="AG1931" s="93"/>
      <c r="AH1931" s="93"/>
      <c r="AI1931" s="93"/>
      <c r="AJ1931" s="93"/>
    </row>
    <row r="1932" spans="30:36" ht="18">
      <c r="AD1932" s="93"/>
      <c r="AE1932" s="214"/>
      <c r="AF1932" s="93"/>
      <c r="AG1932" s="93"/>
      <c r="AH1932" s="93"/>
      <c r="AI1932" s="93"/>
      <c r="AJ1932" s="93"/>
    </row>
    <row r="1933" spans="30:36" ht="18">
      <c r="AD1933" s="93"/>
      <c r="AE1933" s="214"/>
      <c r="AF1933" s="93"/>
      <c r="AG1933" s="93"/>
      <c r="AH1933" s="93"/>
      <c r="AI1933" s="93"/>
      <c r="AJ1933" s="93"/>
    </row>
    <row r="1934" spans="30:36" ht="18">
      <c r="AD1934" s="93"/>
      <c r="AE1934" s="214"/>
      <c r="AF1934" s="93"/>
      <c r="AG1934" s="93"/>
      <c r="AH1934" s="93"/>
      <c r="AI1934" s="93"/>
      <c r="AJ1934" s="93"/>
    </row>
    <row r="1935" spans="30:36" ht="18">
      <c r="AD1935" s="93"/>
      <c r="AE1935" s="214"/>
      <c r="AF1935" s="93"/>
      <c r="AG1935" s="93"/>
      <c r="AH1935" s="93"/>
      <c r="AI1935" s="93"/>
      <c r="AJ1935" s="93"/>
    </row>
    <row r="1936" spans="30:36" ht="18">
      <c r="AD1936" s="93"/>
      <c r="AE1936" s="214"/>
      <c r="AF1936" s="93"/>
      <c r="AG1936" s="93"/>
      <c r="AH1936" s="93"/>
      <c r="AI1936" s="93"/>
      <c r="AJ1936" s="93"/>
    </row>
    <row r="1937" spans="30:36" ht="18">
      <c r="AD1937" s="93"/>
      <c r="AE1937" s="214"/>
      <c r="AF1937" s="93"/>
      <c r="AG1937" s="93"/>
      <c r="AH1937" s="93"/>
      <c r="AI1937" s="93"/>
      <c r="AJ1937" s="93"/>
    </row>
    <row r="1938" spans="30:36" ht="18">
      <c r="AD1938" s="93"/>
      <c r="AE1938" s="214"/>
      <c r="AF1938" s="93"/>
      <c r="AG1938" s="93"/>
      <c r="AH1938" s="93"/>
      <c r="AI1938" s="93"/>
      <c r="AJ1938" s="93"/>
    </row>
    <row r="1939" spans="30:36" ht="18">
      <c r="AD1939" s="93"/>
      <c r="AE1939" s="214"/>
      <c r="AF1939" s="93"/>
      <c r="AG1939" s="93"/>
      <c r="AH1939" s="93"/>
      <c r="AI1939" s="93"/>
      <c r="AJ1939" s="93"/>
    </row>
    <row r="1940" spans="30:36" ht="18">
      <c r="AD1940" s="93"/>
      <c r="AE1940" s="214"/>
      <c r="AF1940" s="93"/>
      <c r="AG1940" s="93"/>
      <c r="AH1940" s="93"/>
      <c r="AI1940" s="93"/>
      <c r="AJ1940" s="93"/>
    </row>
    <row r="1941" spans="30:36" ht="18">
      <c r="AD1941" s="93"/>
      <c r="AE1941" s="214"/>
      <c r="AF1941" s="93"/>
      <c r="AG1941" s="93"/>
      <c r="AH1941" s="93"/>
      <c r="AI1941" s="93"/>
      <c r="AJ1941" s="93"/>
    </row>
    <row r="1942" spans="30:36" ht="18">
      <c r="AD1942" s="93"/>
      <c r="AE1942" s="214"/>
      <c r="AF1942" s="93"/>
      <c r="AG1942" s="93"/>
      <c r="AH1942" s="93"/>
      <c r="AI1942" s="93"/>
      <c r="AJ1942" s="93"/>
    </row>
    <row r="1943" spans="30:36" ht="18">
      <c r="AD1943" s="93"/>
      <c r="AE1943" s="214"/>
      <c r="AF1943" s="93"/>
      <c r="AG1943" s="93"/>
      <c r="AH1943" s="93"/>
      <c r="AI1943" s="93"/>
      <c r="AJ1943" s="93"/>
    </row>
    <row r="1944" spans="30:36" ht="18">
      <c r="AD1944" s="93"/>
      <c r="AE1944" s="214"/>
      <c r="AF1944" s="93"/>
      <c r="AG1944" s="93"/>
      <c r="AH1944" s="93"/>
      <c r="AI1944" s="93"/>
      <c r="AJ1944" s="93"/>
    </row>
    <row r="1945" spans="30:36" ht="18">
      <c r="AD1945" s="93"/>
      <c r="AE1945" s="214"/>
      <c r="AF1945" s="93"/>
      <c r="AG1945" s="93"/>
      <c r="AH1945" s="93"/>
      <c r="AI1945" s="93"/>
      <c r="AJ1945" s="93"/>
    </row>
    <row r="1946" spans="30:36" ht="18">
      <c r="AD1946" s="93"/>
      <c r="AE1946" s="214"/>
      <c r="AF1946" s="93"/>
      <c r="AG1946" s="93"/>
      <c r="AH1946" s="93"/>
      <c r="AI1946" s="93"/>
      <c r="AJ1946" s="93"/>
    </row>
    <row r="1947" spans="30:36" ht="18">
      <c r="AD1947" s="93"/>
      <c r="AE1947" s="214"/>
      <c r="AF1947" s="93"/>
      <c r="AG1947" s="93"/>
      <c r="AH1947" s="93"/>
      <c r="AI1947" s="93"/>
      <c r="AJ1947" s="93"/>
    </row>
    <row r="1948" spans="30:36" ht="18">
      <c r="AD1948" s="93"/>
      <c r="AE1948" s="214"/>
      <c r="AF1948" s="93"/>
      <c r="AG1948" s="93"/>
      <c r="AH1948" s="93"/>
      <c r="AI1948" s="93"/>
      <c r="AJ1948" s="93"/>
    </row>
    <row r="1949" spans="30:36" ht="18">
      <c r="AD1949" s="93"/>
      <c r="AE1949" s="215"/>
      <c r="AF1949" s="93"/>
      <c r="AG1949" s="93"/>
      <c r="AH1949" s="93"/>
      <c r="AI1949" s="93"/>
      <c r="AJ1949" s="93"/>
    </row>
    <row r="1950" spans="30:36" ht="18">
      <c r="AD1950" s="93"/>
      <c r="AE1950" s="215"/>
      <c r="AF1950" s="93"/>
      <c r="AG1950" s="93"/>
      <c r="AH1950" s="93"/>
      <c r="AI1950" s="93"/>
      <c r="AJ1950" s="93"/>
    </row>
    <row r="1951" spans="30:36" ht="18">
      <c r="AD1951" s="93"/>
      <c r="AE1951" s="214"/>
      <c r="AF1951" s="93"/>
      <c r="AG1951" s="93"/>
      <c r="AH1951" s="93"/>
      <c r="AI1951" s="93"/>
      <c r="AJ1951" s="93"/>
    </row>
    <row r="1952" spans="30:36" ht="18">
      <c r="AD1952" s="93"/>
      <c r="AE1952" s="214"/>
      <c r="AF1952" s="93"/>
      <c r="AG1952" s="93"/>
      <c r="AH1952" s="93"/>
      <c r="AI1952" s="93"/>
      <c r="AJ1952" s="93"/>
    </row>
    <row r="1953" spans="30:36" ht="18">
      <c r="AD1953" s="93"/>
      <c r="AE1953" s="214"/>
      <c r="AF1953" s="93"/>
      <c r="AG1953" s="93"/>
      <c r="AH1953" s="93"/>
      <c r="AI1953" s="93"/>
      <c r="AJ1953" s="93"/>
    </row>
    <row r="1954" spans="30:36" ht="18">
      <c r="AD1954" s="93"/>
      <c r="AE1954" s="215"/>
      <c r="AF1954" s="93"/>
      <c r="AG1954" s="93"/>
      <c r="AH1954" s="93"/>
      <c r="AI1954" s="93"/>
      <c r="AJ1954" s="93"/>
    </row>
    <row r="1955" spans="30:36" ht="18">
      <c r="AD1955" s="93"/>
      <c r="AE1955" s="214"/>
      <c r="AF1955" s="93"/>
      <c r="AG1955" s="93"/>
      <c r="AH1955" s="93"/>
      <c r="AI1955" s="93"/>
      <c r="AJ1955" s="93"/>
    </row>
    <row r="1956" spans="30:36" ht="18">
      <c r="AD1956" s="93"/>
      <c r="AE1956" s="214"/>
      <c r="AF1956" s="93"/>
      <c r="AG1956" s="93"/>
      <c r="AH1956" s="93"/>
      <c r="AI1956" s="93"/>
      <c r="AJ1956" s="93"/>
    </row>
    <row r="1957" spans="30:36" ht="18">
      <c r="AD1957" s="93"/>
      <c r="AE1957" s="214"/>
      <c r="AF1957" s="93"/>
      <c r="AG1957" s="93"/>
      <c r="AH1957" s="93"/>
      <c r="AI1957" s="93"/>
      <c r="AJ1957" s="93"/>
    </row>
    <row r="1958" spans="30:36" ht="18">
      <c r="AD1958" s="93"/>
      <c r="AE1958" s="214"/>
      <c r="AF1958" s="93"/>
      <c r="AG1958" s="93"/>
      <c r="AH1958" s="93"/>
      <c r="AI1958" s="93"/>
      <c r="AJ1958" s="93"/>
    </row>
    <row r="1959" spans="30:36" ht="18">
      <c r="AD1959" s="93"/>
      <c r="AE1959" s="215"/>
      <c r="AF1959" s="93"/>
      <c r="AG1959" s="93"/>
      <c r="AH1959" s="93"/>
      <c r="AI1959" s="93"/>
      <c r="AJ1959" s="93"/>
    </row>
    <row r="1960" spans="30:36" ht="18">
      <c r="AD1960" s="93"/>
      <c r="AE1960" s="215"/>
      <c r="AF1960" s="93"/>
      <c r="AG1960" s="93"/>
      <c r="AH1960" s="93"/>
      <c r="AI1960" s="93"/>
      <c r="AJ1960" s="93"/>
    </row>
    <row r="1961" spans="30:36" ht="18">
      <c r="AD1961" s="93"/>
      <c r="AE1961" s="214"/>
      <c r="AF1961" s="93"/>
      <c r="AG1961" s="93"/>
      <c r="AH1961" s="93"/>
      <c r="AI1961" s="93"/>
      <c r="AJ1961" s="93"/>
    </row>
    <row r="1962" spans="30:36" ht="18">
      <c r="AD1962" s="93"/>
      <c r="AE1962" s="214"/>
      <c r="AF1962" s="93"/>
      <c r="AG1962" s="93"/>
      <c r="AH1962" s="93"/>
      <c r="AI1962" s="93"/>
      <c r="AJ1962" s="93"/>
    </row>
    <row r="1963" spans="30:36" ht="18">
      <c r="AD1963" s="93"/>
      <c r="AE1963" s="214"/>
      <c r="AF1963" s="93"/>
      <c r="AG1963" s="93"/>
      <c r="AH1963" s="93"/>
      <c r="AI1963" s="93"/>
      <c r="AJ1963" s="93"/>
    </row>
    <row r="1964" spans="30:36" ht="18">
      <c r="AD1964" s="93"/>
      <c r="AE1964" s="214"/>
      <c r="AF1964" s="93"/>
      <c r="AG1964" s="93"/>
      <c r="AH1964" s="93"/>
      <c r="AI1964" s="93"/>
      <c r="AJ1964" s="93"/>
    </row>
    <row r="1965" spans="30:36" ht="18">
      <c r="AD1965" s="93"/>
      <c r="AE1965" s="214"/>
      <c r="AF1965" s="93"/>
      <c r="AG1965" s="93"/>
      <c r="AH1965" s="93"/>
      <c r="AI1965" s="93"/>
      <c r="AJ1965" s="93"/>
    </row>
    <row r="1966" spans="30:36" ht="18">
      <c r="AD1966" s="93"/>
      <c r="AE1966" s="214"/>
      <c r="AF1966" s="93"/>
      <c r="AG1966" s="93"/>
      <c r="AH1966" s="93"/>
      <c r="AI1966" s="93"/>
      <c r="AJ1966" s="93"/>
    </row>
    <row r="1967" spans="30:36" ht="18">
      <c r="AD1967" s="93"/>
      <c r="AE1967" s="214"/>
      <c r="AF1967" s="93"/>
      <c r="AG1967" s="93"/>
      <c r="AH1967" s="93"/>
      <c r="AI1967" s="93"/>
      <c r="AJ1967" s="93"/>
    </row>
    <row r="1968" spans="30:36" ht="18">
      <c r="AD1968" s="93"/>
      <c r="AE1968" s="214"/>
      <c r="AF1968" s="93"/>
      <c r="AG1968" s="93"/>
      <c r="AH1968" s="93"/>
      <c r="AI1968" s="93"/>
      <c r="AJ1968" s="93"/>
    </row>
    <row r="1969" spans="30:36" ht="18">
      <c r="AD1969" s="93"/>
      <c r="AE1969" s="214"/>
      <c r="AF1969" s="93"/>
      <c r="AG1969" s="93"/>
      <c r="AH1969" s="93"/>
      <c r="AI1969" s="93"/>
      <c r="AJ1969" s="93"/>
    </row>
    <row r="1970" spans="30:36" ht="18">
      <c r="AD1970" s="93"/>
      <c r="AE1970" s="214"/>
      <c r="AF1970" s="93"/>
      <c r="AG1970" s="93"/>
      <c r="AH1970" s="93"/>
      <c r="AI1970" s="93"/>
      <c r="AJ1970" s="93"/>
    </row>
    <row r="1971" spans="30:36" ht="18">
      <c r="AD1971" s="93"/>
      <c r="AE1971" s="214"/>
      <c r="AF1971" s="93"/>
      <c r="AG1971" s="93"/>
      <c r="AH1971" s="93"/>
      <c r="AI1971" s="93"/>
      <c r="AJ1971" s="93"/>
    </row>
    <row r="1972" spans="30:36" ht="18">
      <c r="AD1972" s="93"/>
      <c r="AE1972" s="215"/>
      <c r="AF1972" s="93"/>
      <c r="AG1972" s="93"/>
      <c r="AH1972" s="93"/>
      <c r="AI1972" s="93"/>
      <c r="AJ1972" s="93"/>
    </row>
    <row r="1973" spans="30:36" ht="18">
      <c r="AD1973" s="93"/>
      <c r="AE1973" s="215"/>
      <c r="AF1973" s="93"/>
      <c r="AG1973" s="93"/>
      <c r="AH1973" s="93"/>
      <c r="AI1973" s="93"/>
      <c r="AJ1973" s="93"/>
    </row>
    <row r="1974" spans="30:36" ht="18">
      <c r="AD1974" s="93"/>
      <c r="AE1974" s="214"/>
      <c r="AF1974" s="93"/>
      <c r="AG1974" s="93"/>
      <c r="AH1974" s="93"/>
      <c r="AI1974" s="93"/>
      <c r="AJ1974" s="93"/>
    </row>
    <row r="1975" spans="30:36" ht="18">
      <c r="AD1975" s="93"/>
      <c r="AE1975" s="214"/>
      <c r="AF1975" s="93"/>
      <c r="AG1975" s="93"/>
      <c r="AH1975" s="93"/>
      <c r="AI1975" s="93"/>
      <c r="AJ1975" s="93"/>
    </row>
    <row r="1976" spans="30:36" ht="18">
      <c r="AD1976" s="93"/>
      <c r="AE1976" s="214"/>
      <c r="AF1976" s="93"/>
      <c r="AG1976" s="93"/>
      <c r="AH1976" s="93"/>
      <c r="AI1976" s="93"/>
      <c r="AJ1976" s="93"/>
    </row>
    <row r="1977" spans="30:36" ht="18">
      <c r="AD1977" s="93"/>
      <c r="AE1977" s="214"/>
      <c r="AF1977" s="93"/>
      <c r="AG1977" s="93"/>
      <c r="AH1977" s="93"/>
      <c r="AI1977" s="93"/>
      <c r="AJ1977" s="93"/>
    </row>
    <row r="1978" spans="30:36" ht="18">
      <c r="AD1978" s="93"/>
      <c r="AE1978" s="214"/>
      <c r="AF1978" s="93"/>
      <c r="AG1978" s="93"/>
      <c r="AH1978" s="93"/>
      <c r="AI1978" s="93"/>
      <c r="AJ1978" s="93"/>
    </row>
    <row r="1979" spans="30:36" ht="18">
      <c r="AD1979" s="93"/>
      <c r="AE1979" s="215"/>
      <c r="AF1979" s="93"/>
      <c r="AG1979" s="93"/>
      <c r="AH1979" s="93"/>
      <c r="AI1979" s="93"/>
      <c r="AJ1979" s="93"/>
    </row>
    <row r="1980" spans="30:36" ht="18">
      <c r="AD1980" s="93"/>
      <c r="AE1980" s="215"/>
      <c r="AF1980" s="93"/>
      <c r="AG1980" s="93"/>
      <c r="AH1980" s="93"/>
      <c r="AI1980" s="93"/>
      <c r="AJ1980" s="93"/>
    </row>
    <row r="1981" spans="30:36" ht="18">
      <c r="AD1981" s="93"/>
      <c r="AE1981" s="215"/>
      <c r="AF1981" s="93"/>
      <c r="AG1981" s="93"/>
      <c r="AH1981" s="93"/>
      <c r="AI1981" s="93"/>
      <c r="AJ1981" s="93"/>
    </row>
    <row r="1982" spans="30:36" ht="18">
      <c r="AD1982" s="93"/>
      <c r="AE1982" s="214"/>
      <c r="AF1982" s="93"/>
      <c r="AG1982" s="93"/>
      <c r="AH1982" s="93"/>
      <c r="AI1982" s="93"/>
      <c r="AJ1982" s="93"/>
    </row>
    <row r="1983" spans="30:36" ht="18">
      <c r="AD1983" s="93"/>
      <c r="AE1983" s="214"/>
      <c r="AF1983" s="93"/>
      <c r="AG1983" s="93"/>
      <c r="AH1983" s="93"/>
      <c r="AI1983" s="93"/>
      <c r="AJ1983" s="93"/>
    </row>
    <row r="1984" spans="30:36" ht="18">
      <c r="AD1984" s="93"/>
      <c r="AE1984" s="215"/>
      <c r="AF1984" s="93"/>
      <c r="AG1984" s="93"/>
      <c r="AH1984" s="93"/>
      <c r="AI1984" s="93"/>
      <c r="AJ1984" s="93"/>
    </row>
    <row r="1985" spans="30:36" ht="18">
      <c r="AD1985" s="93"/>
      <c r="AE1985" s="214"/>
      <c r="AF1985" s="93"/>
      <c r="AG1985" s="93"/>
      <c r="AH1985" s="93"/>
      <c r="AI1985" s="93"/>
      <c r="AJ1985" s="93"/>
    </row>
    <row r="1986" spans="30:36" ht="18">
      <c r="AD1986" s="93"/>
      <c r="AE1986" s="214"/>
      <c r="AF1986" s="93"/>
      <c r="AG1986" s="93"/>
      <c r="AH1986" s="93"/>
      <c r="AI1986" s="93"/>
      <c r="AJ1986" s="93"/>
    </row>
    <row r="1987" spans="30:36" ht="18">
      <c r="AD1987" s="93"/>
      <c r="AE1987" s="215"/>
      <c r="AF1987" s="93"/>
      <c r="AG1987" s="93"/>
      <c r="AH1987" s="93"/>
      <c r="AI1987" s="93"/>
      <c r="AJ1987" s="93"/>
    </row>
    <row r="1988" spans="30:36" ht="18">
      <c r="AD1988" s="93"/>
      <c r="AE1988" s="215"/>
      <c r="AF1988" s="93"/>
      <c r="AG1988" s="93"/>
      <c r="AH1988" s="93"/>
      <c r="AI1988" s="93"/>
      <c r="AJ1988" s="93"/>
    </row>
    <row r="1989" spans="30:36" ht="18">
      <c r="AD1989" s="93"/>
      <c r="AE1989" s="214"/>
      <c r="AF1989" s="93"/>
      <c r="AG1989" s="93"/>
      <c r="AH1989" s="93"/>
      <c r="AI1989" s="93"/>
      <c r="AJ1989" s="93"/>
    </row>
    <row r="1990" spans="30:36" ht="18">
      <c r="AD1990" s="93"/>
      <c r="AE1990" s="214"/>
      <c r="AF1990" s="93"/>
      <c r="AG1990" s="93"/>
      <c r="AH1990" s="93"/>
      <c r="AI1990" s="93"/>
      <c r="AJ1990" s="93"/>
    </row>
    <row r="1991" spans="30:36" ht="18">
      <c r="AD1991" s="93"/>
      <c r="AE1991" s="215"/>
      <c r="AF1991" s="93"/>
      <c r="AG1991" s="93"/>
      <c r="AH1991" s="93"/>
      <c r="AI1991" s="93"/>
      <c r="AJ1991" s="93"/>
    </row>
    <row r="1992" spans="30:36" ht="18">
      <c r="AD1992" s="93"/>
      <c r="AE1992" s="214"/>
      <c r="AF1992" s="93"/>
      <c r="AG1992" s="93"/>
      <c r="AH1992" s="93"/>
      <c r="AI1992" s="93"/>
      <c r="AJ1992" s="93"/>
    </row>
    <row r="1993" spans="30:36" ht="18">
      <c r="AD1993" s="93"/>
      <c r="AE1993" s="214"/>
      <c r="AF1993" s="93"/>
      <c r="AG1993" s="93"/>
      <c r="AH1993" s="93"/>
      <c r="AI1993" s="93"/>
      <c r="AJ1993" s="93"/>
    </row>
    <row r="1994" spans="30:36" ht="18">
      <c r="AD1994" s="93"/>
      <c r="AE1994" s="214"/>
      <c r="AF1994" s="93"/>
      <c r="AG1994" s="93"/>
      <c r="AH1994" s="93"/>
      <c r="AI1994" s="93"/>
      <c r="AJ1994" s="93"/>
    </row>
    <row r="1995" spans="30:36" ht="18">
      <c r="AD1995" s="93"/>
      <c r="AE1995" s="214"/>
      <c r="AF1995" s="93"/>
      <c r="AG1995" s="93"/>
      <c r="AH1995" s="93"/>
      <c r="AI1995" s="93"/>
      <c r="AJ1995" s="93"/>
    </row>
    <row r="1996" spans="30:36" ht="18">
      <c r="AD1996" s="93"/>
      <c r="AE1996" s="214"/>
      <c r="AF1996" s="93"/>
      <c r="AG1996" s="93"/>
      <c r="AH1996" s="93"/>
      <c r="AI1996" s="93"/>
      <c r="AJ1996" s="93"/>
    </row>
    <row r="1997" spans="30:36" ht="18">
      <c r="AD1997" s="93"/>
      <c r="AE1997" s="215"/>
      <c r="AF1997" s="93"/>
      <c r="AG1997" s="93"/>
      <c r="AH1997" s="93"/>
      <c r="AI1997" s="93"/>
      <c r="AJ1997" s="93"/>
    </row>
    <row r="1998" spans="30:36" ht="18">
      <c r="AD1998" s="93"/>
      <c r="AE1998" s="214"/>
      <c r="AF1998" s="93"/>
      <c r="AG1998" s="93"/>
      <c r="AH1998" s="93"/>
      <c r="AI1998" s="93"/>
      <c r="AJ1998" s="93"/>
    </row>
    <row r="1999" spans="30:36" ht="18">
      <c r="AD1999" s="93"/>
      <c r="AE1999" s="214"/>
      <c r="AF1999" s="93"/>
      <c r="AG1999" s="93"/>
      <c r="AH1999" s="93"/>
      <c r="AI1999" s="93"/>
      <c r="AJ1999" s="93"/>
    </row>
    <row r="2000" spans="30:36" ht="18">
      <c r="AD2000" s="93"/>
      <c r="AE2000" s="214"/>
      <c r="AF2000" s="93"/>
      <c r="AG2000" s="93"/>
      <c r="AH2000" s="93"/>
      <c r="AI2000" s="93"/>
      <c r="AJ2000" s="93"/>
    </row>
    <row r="2001" spans="30:36" ht="18">
      <c r="AD2001" s="93"/>
      <c r="AE2001" s="214"/>
      <c r="AF2001" s="93"/>
      <c r="AG2001" s="93"/>
      <c r="AH2001" s="93"/>
      <c r="AI2001" s="93"/>
      <c r="AJ2001" s="93"/>
    </row>
    <row r="2002" spans="30:36" ht="18">
      <c r="AD2002" s="93"/>
      <c r="AE2002" s="215"/>
      <c r="AF2002" s="93"/>
      <c r="AG2002" s="93"/>
      <c r="AH2002" s="93"/>
      <c r="AI2002" s="93"/>
      <c r="AJ2002" s="93"/>
    </row>
    <row r="2003" spans="30:36" ht="18">
      <c r="AD2003" s="93"/>
      <c r="AE2003" s="215"/>
      <c r="AF2003" s="93"/>
      <c r="AG2003" s="93"/>
      <c r="AH2003" s="93"/>
      <c r="AI2003" s="93"/>
      <c r="AJ2003" s="93"/>
    </row>
    <row r="2004" spans="30:36" ht="18">
      <c r="AD2004" s="93"/>
      <c r="AE2004" s="214"/>
      <c r="AF2004" s="93"/>
      <c r="AG2004" s="93"/>
      <c r="AH2004" s="93"/>
      <c r="AI2004" s="93"/>
      <c r="AJ2004" s="93"/>
    </row>
    <row r="2005" spans="30:36" ht="18">
      <c r="AD2005" s="93"/>
      <c r="AE2005" s="214"/>
      <c r="AF2005" s="93"/>
      <c r="AG2005" s="93"/>
      <c r="AH2005" s="93"/>
      <c r="AI2005" s="93"/>
      <c r="AJ2005" s="93"/>
    </row>
    <row r="2006" spans="30:36" ht="18">
      <c r="AD2006" s="93"/>
      <c r="AE2006" s="214"/>
      <c r="AF2006" s="93"/>
      <c r="AG2006" s="93"/>
      <c r="AH2006" s="93"/>
      <c r="AI2006" s="93"/>
      <c r="AJ2006" s="93"/>
    </row>
    <row r="2007" spans="30:36" ht="18">
      <c r="AD2007" s="93"/>
      <c r="AE2007" s="214"/>
      <c r="AF2007" s="93"/>
      <c r="AG2007" s="93"/>
      <c r="AH2007" s="93"/>
      <c r="AI2007" s="93"/>
      <c r="AJ2007" s="93"/>
    </row>
    <row r="2008" spans="30:36" ht="18">
      <c r="AD2008" s="93"/>
      <c r="AE2008" s="214"/>
      <c r="AF2008" s="93"/>
      <c r="AG2008" s="93"/>
      <c r="AH2008" s="93"/>
      <c r="AI2008" s="93"/>
      <c r="AJ2008" s="93"/>
    </row>
    <row r="2009" spans="30:36" ht="18">
      <c r="AD2009" s="93"/>
      <c r="AE2009" s="214"/>
      <c r="AF2009" s="93"/>
      <c r="AG2009" s="93"/>
      <c r="AH2009" s="93"/>
      <c r="AI2009" s="93"/>
      <c r="AJ2009" s="93"/>
    </row>
    <row r="2010" spans="30:36" ht="18">
      <c r="AD2010" s="93"/>
      <c r="AE2010" s="215"/>
      <c r="AF2010" s="93"/>
      <c r="AG2010" s="93"/>
      <c r="AH2010" s="93"/>
      <c r="AI2010" s="93"/>
      <c r="AJ2010" s="93"/>
    </row>
    <row r="2011" spans="30:36" ht="18">
      <c r="AD2011" s="93"/>
      <c r="AE2011" s="215"/>
      <c r="AF2011" s="93"/>
      <c r="AG2011" s="93"/>
      <c r="AH2011" s="93"/>
      <c r="AI2011" s="93"/>
      <c r="AJ2011" s="93"/>
    </row>
    <row r="2012" spans="30:36" ht="18">
      <c r="AD2012" s="93"/>
      <c r="AE2012" s="215"/>
      <c r="AF2012" s="93"/>
      <c r="AG2012" s="93"/>
      <c r="AH2012" s="93"/>
      <c r="AI2012" s="93"/>
      <c r="AJ2012" s="93"/>
    </row>
    <row r="2013" spans="30:36" ht="18">
      <c r="AD2013" s="93"/>
      <c r="AE2013" s="214"/>
      <c r="AF2013" s="93"/>
      <c r="AG2013" s="93"/>
      <c r="AH2013" s="93"/>
      <c r="AI2013" s="93"/>
      <c r="AJ2013" s="93"/>
    </row>
    <row r="2014" spans="30:36" ht="18">
      <c r="AD2014" s="93"/>
      <c r="AE2014" s="214"/>
      <c r="AF2014" s="93"/>
      <c r="AG2014" s="93"/>
      <c r="AH2014" s="93"/>
      <c r="AI2014" s="93"/>
      <c r="AJ2014" s="93"/>
    </row>
    <row r="2015" spans="30:36" ht="18">
      <c r="AD2015" s="93"/>
      <c r="AE2015" s="215"/>
      <c r="AF2015" s="93"/>
      <c r="AG2015" s="93"/>
      <c r="AH2015" s="93"/>
      <c r="AI2015" s="93"/>
      <c r="AJ2015" s="93"/>
    </row>
    <row r="2016" spans="30:36" ht="18">
      <c r="AD2016" s="93"/>
      <c r="AE2016" s="214"/>
      <c r="AF2016" s="93"/>
      <c r="AG2016" s="93"/>
      <c r="AH2016" s="93"/>
      <c r="AI2016" s="93"/>
      <c r="AJ2016" s="93"/>
    </row>
    <row r="2017" spans="30:36" ht="18">
      <c r="AD2017" s="93"/>
      <c r="AE2017" s="214"/>
      <c r="AF2017" s="93"/>
      <c r="AG2017" s="93"/>
      <c r="AH2017" s="93"/>
      <c r="AI2017" s="93"/>
      <c r="AJ2017" s="93"/>
    </row>
    <row r="2018" spans="30:36" ht="18">
      <c r="AD2018" s="93"/>
      <c r="AE2018" s="215"/>
      <c r="AF2018" s="93"/>
      <c r="AG2018" s="93"/>
      <c r="AH2018" s="93"/>
      <c r="AI2018" s="93"/>
      <c r="AJ2018" s="93"/>
    </row>
    <row r="2019" spans="30:36" ht="18">
      <c r="AD2019" s="93"/>
      <c r="AE2019" s="214"/>
      <c r="AF2019" s="93"/>
      <c r="AG2019" s="93"/>
      <c r="AH2019" s="93"/>
      <c r="AI2019" s="93"/>
      <c r="AJ2019" s="93"/>
    </row>
    <row r="2020" spans="30:36" ht="18">
      <c r="AD2020" s="93"/>
      <c r="AE2020" s="214"/>
      <c r="AF2020" s="93"/>
      <c r="AG2020" s="93"/>
      <c r="AH2020" s="93"/>
      <c r="AI2020" s="93"/>
      <c r="AJ2020" s="93"/>
    </row>
    <row r="2021" spans="30:36" ht="18">
      <c r="AD2021" s="93"/>
      <c r="AE2021" s="214"/>
      <c r="AF2021" s="93"/>
      <c r="AG2021" s="93"/>
      <c r="AH2021" s="93"/>
      <c r="AI2021" s="93"/>
      <c r="AJ2021" s="93"/>
    </row>
    <row r="2022" spans="30:36" ht="18">
      <c r="AD2022" s="93"/>
      <c r="AE2022" s="214"/>
      <c r="AF2022" s="93"/>
      <c r="AG2022" s="93"/>
      <c r="AH2022" s="93"/>
      <c r="AI2022" s="93"/>
      <c r="AJ2022" s="93"/>
    </row>
    <row r="2023" spans="30:36" ht="18">
      <c r="AD2023" s="93"/>
      <c r="AE2023" s="214"/>
      <c r="AF2023" s="93"/>
      <c r="AG2023" s="93"/>
      <c r="AH2023" s="93"/>
      <c r="AI2023" s="93"/>
      <c r="AJ2023" s="93"/>
    </row>
    <row r="2024" spans="30:36" ht="18">
      <c r="AD2024" s="93"/>
      <c r="AE2024" s="214"/>
      <c r="AF2024" s="93"/>
      <c r="AG2024" s="93"/>
      <c r="AH2024" s="93"/>
      <c r="AI2024" s="93"/>
      <c r="AJ2024" s="93"/>
    </row>
    <row r="2025" spans="30:36" ht="18">
      <c r="AD2025" s="93"/>
      <c r="AE2025" s="214"/>
      <c r="AF2025" s="93"/>
      <c r="AG2025" s="93"/>
      <c r="AH2025" s="93"/>
      <c r="AI2025" s="93"/>
      <c r="AJ2025" s="93"/>
    </row>
    <row r="2026" spans="30:36" ht="18">
      <c r="AD2026" s="93"/>
      <c r="AE2026" s="214"/>
      <c r="AF2026" s="93"/>
      <c r="AG2026" s="93"/>
      <c r="AH2026" s="93"/>
      <c r="AI2026" s="93"/>
      <c r="AJ2026" s="93"/>
    </row>
    <row r="2027" spans="30:36" ht="18">
      <c r="AD2027" s="93"/>
      <c r="AE2027" s="214"/>
      <c r="AF2027" s="93"/>
      <c r="AG2027" s="93"/>
      <c r="AH2027" s="93"/>
      <c r="AI2027" s="93"/>
      <c r="AJ2027" s="93"/>
    </row>
    <row r="2028" spans="30:36" ht="18">
      <c r="AD2028" s="93"/>
      <c r="AE2028" s="214"/>
      <c r="AF2028" s="93"/>
      <c r="AG2028" s="93"/>
      <c r="AH2028" s="93"/>
      <c r="AI2028" s="93"/>
      <c r="AJ2028" s="93"/>
    </row>
    <row r="2029" spans="30:36" ht="18">
      <c r="AD2029" s="93"/>
      <c r="AE2029" s="214"/>
      <c r="AF2029" s="93"/>
      <c r="AG2029" s="93"/>
      <c r="AH2029" s="93"/>
      <c r="AI2029" s="93"/>
      <c r="AJ2029" s="93"/>
    </row>
    <row r="2030" spans="30:36" ht="18">
      <c r="AD2030" s="93"/>
      <c r="AE2030" s="214"/>
      <c r="AF2030" s="93"/>
      <c r="AG2030" s="93"/>
      <c r="AH2030" s="93"/>
      <c r="AI2030" s="93"/>
      <c r="AJ2030" s="93"/>
    </row>
    <row r="2031" spans="30:36" ht="18">
      <c r="AD2031" s="93"/>
      <c r="AE2031" s="214"/>
      <c r="AF2031" s="93"/>
      <c r="AG2031" s="93"/>
      <c r="AH2031" s="93"/>
      <c r="AI2031" s="93"/>
      <c r="AJ2031" s="93"/>
    </row>
    <row r="2032" spans="30:36" ht="18">
      <c r="AD2032" s="93"/>
      <c r="AE2032" s="214"/>
      <c r="AF2032" s="93"/>
      <c r="AG2032" s="93"/>
      <c r="AH2032" s="93"/>
      <c r="AI2032" s="93"/>
      <c r="AJ2032" s="93"/>
    </row>
    <row r="2033" spans="30:36" ht="18">
      <c r="AD2033" s="93"/>
      <c r="AE2033" s="214"/>
      <c r="AF2033" s="93"/>
      <c r="AG2033" s="93"/>
      <c r="AH2033" s="93"/>
      <c r="AI2033" s="93"/>
      <c r="AJ2033" s="93"/>
    </row>
    <row r="2034" spans="30:36" ht="18">
      <c r="AD2034" s="93"/>
      <c r="AE2034" s="214"/>
      <c r="AF2034" s="93"/>
      <c r="AG2034" s="93"/>
      <c r="AH2034" s="93"/>
      <c r="AI2034" s="93"/>
      <c r="AJ2034" s="93"/>
    </row>
    <row r="2035" spans="30:36" ht="18">
      <c r="AD2035" s="93"/>
      <c r="AE2035" s="214"/>
      <c r="AF2035" s="93"/>
      <c r="AG2035" s="93"/>
      <c r="AH2035" s="93"/>
      <c r="AI2035" s="93"/>
      <c r="AJ2035" s="93"/>
    </row>
    <row r="2036" spans="30:36" ht="18">
      <c r="AD2036" s="93"/>
      <c r="AE2036" s="214"/>
      <c r="AF2036" s="93"/>
      <c r="AG2036" s="93"/>
      <c r="AH2036" s="93"/>
      <c r="AI2036" s="93"/>
      <c r="AJ2036" s="93"/>
    </row>
    <row r="2037" spans="30:36" ht="18">
      <c r="AD2037" s="93"/>
      <c r="AE2037" s="214"/>
      <c r="AF2037" s="93"/>
      <c r="AG2037" s="93"/>
      <c r="AH2037" s="93"/>
      <c r="AI2037" s="93"/>
      <c r="AJ2037" s="93"/>
    </row>
    <row r="2038" spans="30:36" ht="18">
      <c r="AD2038" s="93"/>
      <c r="AE2038" s="214"/>
      <c r="AF2038" s="93"/>
      <c r="AG2038" s="93"/>
      <c r="AH2038" s="93"/>
      <c r="AI2038" s="93"/>
      <c r="AJ2038" s="93"/>
    </row>
    <row r="2039" spans="30:36" ht="18">
      <c r="AD2039" s="93"/>
      <c r="AE2039" s="214"/>
      <c r="AF2039" s="93"/>
      <c r="AG2039" s="93"/>
      <c r="AH2039" s="93"/>
      <c r="AI2039" s="93"/>
      <c r="AJ2039" s="93"/>
    </row>
    <row r="2040" spans="30:36" ht="18">
      <c r="AD2040" s="93"/>
      <c r="AE2040" s="214"/>
      <c r="AF2040" s="93"/>
      <c r="AG2040" s="93"/>
      <c r="AH2040" s="93"/>
      <c r="AI2040" s="93"/>
      <c r="AJ2040" s="93"/>
    </row>
    <row r="2041" spans="30:36" ht="18">
      <c r="AD2041" s="93"/>
      <c r="AE2041" s="214"/>
      <c r="AF2041" s="93"/>
      <c r="AG2041" s="93"/>
      <c r="AH2041" s="93"/>
      <c r="AI2041" s="93"/>
      <c r="AJ2041" s="93"/>
    </row>
    <row r="2042" spans="30:36" ht="18">
      <c r="AD2042" s="93"/>
      <c r="AE2042" s="214"/>
      <c r="AF2042" s="93"/>
      <c r="AG2042" s="93"/>
      <c r="AH2042" s="93"/>
      <c r="AI2042" s="93"/>
      <c r="AJ2042" s="93"/>
    </row>
    <row r="2043" spans="30:36" ht="18">
      <c r="AD2043" s="93"/>
      <c r="AE2043" s="214"/>
      <c r="AF2043" s="93"/>
      <c r="AG2043" s="93"/>
      <c r="AH2043" s="93"/>
      <c r="AI2043" s="93"/>
      <c r="AJ2043" s="93"/>
    </row>
    <row r="2044" spans="30:36" ht="18">
      <c r="AD2044" s="93"/>
      <c r="AE2044" s="214"/>
      <c r="AF2044" s="93"/>
      <c r="AG2044" s="93"/>
      <c r="AH2044" s="93"/>
      <c r="AI2044" s="93"/>
      <c r="AJ2044" s="93"/>
    </row>
    <row r="2045" spans="30:36" ht="18">
      <c r="AD2045" s="93"/>
      <c r="AE2045" s="214"/>
      <c r="AF2045" s="93"/>
      <c r="AG2045" s="93"/>
      <c r="AH2045" s="93"/>
      <c r="AI2045" s="93"/>
      <c r="AJ2045" s="93"/>
    </row>
    <row r="2046" spans="30:36" ht="18">
      <c r="AD2046" s="93"/>
      <c r="AE2046" s="214"/>
      <c r="AF2046" s="93"/>
      <c r="AG2046" s="93"/>
      <c r="AH2046" s="93"/>
      <c r="AI2046" s="93"/>
      <c r="AJ2046" s="93"/>
    </row>
    <row r="2047" spans="30:36" ht="18">
      <c r="AD2047" s="93"/>
      <c r="AE2047" s="214"/>
      <c r="AF2047" s="93"/>
      <c r="AG2047" s="93"/>
      <c r="AH2047" s="93"/>
      <c r="AI2047" s="93"/>
      <c r="AJ2047" s="93"/>
    </row>
    <row r="2048" spans="30:36" ht="18">
      <c r="AD2048" s="93"/>
      <c r="AE2048" s="214"/>
      <c r="AF2048" s="93"/>
      <c r="AG2048" s="93"/>
      <c r="AH2048" s="93"/>
      <c r="AI2048" s="93"/>
      <c r="AJ2048" s="93"/>
    </row>
    <row r="2049" spans="30:36" ht="18">
      <c r="AD2049" s="93"/>
      <c r="AE2049" s="214"/>
      <c r="AF2049" s="93"/>
      <c r="AG2049" s="93"/>
      <c r="AH2049" s="93"/>
      <c r="AI2049" s="93"/>
      <c r="AJ2049" s="93"/>
    </row>
    <row r="2050" spans="30:36" ht="18">
      <c r="AD2050" s="93"/>
      <c r="AE2050" s="214"/>
      <c r="AF2050" s="93"/>
      <c r="AG2050" s="93"/>
      <c r="AH2050" s="93"/>
      <c r="AI2050" s="93"/>
      <c r="AJ2050" s="93"/>
    </row>
    <row r="2051" spans="30:36" ht="18">
      <c r="AD2051" s="93"/>
      <c r="AE2051" s="214"/>
      <c r="AF2051" s="93"/>
      <c r="AG2051" s="93"/>
      <c r="AH2051" s="93"/>
      <c r="AI2051" s="93"/>
      <c r="AJ2051" s="93"/>
    </row>
    <row r="2052" spans="30:36" ht="18">
      <c r="AD2052" s="93"/>
      <c r="AE2052" s="214"/>
      <c r="AF2052" s="93"/>
      <c r="AG2052" s="93"/>
      <c r="AH2052" s="93"/>
      <c r="AI2052" s="93"/>
      <c r="AJ2052" s="93"/>
    </row>
    <row r="2053" spans="30:36" ht="18">
      <c r="AD2053" s="93"/>
      <c r="AE2053" s="214"/>
      <c r="AF2053" s="93"/>
      <c r="AG2053" s="93"/>
      <c r="AH2053" s="93"/>
      <c r="AI2053" s="93"/>
      <c r="AJ2053" s="93"/>
    </row>
    <row r="2054" spans="30:36" ht="18">
      <c r="AD2054" s="93"/>
      <c r="AE2054" s="214"/>
      <c r="AF2054" s="93"/>
      <c r="AG2054" s="93"/>
      <c r="AH2054" s="93"/>
      <c r="AI2054" s="93"/>
      <c r="AJ2054" s="93"/>
    </row>
    <row r="2055" spans="30:36" ht="18">
      <c r="AD2055" s="93"/>
      <c r="AE2055" s="214"/>
      <c r="AF2055" s="93"/>
      <c r="AG2055" s="93"/>
      <c r="AH2055" s="93"/>
      <c r="AI2055" s="93"/>
      <c r="AJ2055" s="93"/>
    </row>
    <row r="2056" spans="30:36" ht="18">
      <c r="AD2056" s="93"/>
      <c r="AE2056" s="214"/>
      <c r="AF2056" s="93"/>
      <c r="AG2056" s="93"/>
      <c r="AH2056" s="93"/>
      <c r="AI2056" s="93"/>
      <c r="AJ2056" s="93"/>
    </row>
    <row r="2057" spans="30:36" ht="18">
      <c r="AD2057" s="93"/>
      <c r="AE2057" s="214"/>
      <c r="AF2057" s="93"/>
      <c r="AG2057" s="93"/>
      <c r="AH2057" s="93"/>
      <c r="AI2057" s="93"/>
      <c r="AJ2057" s="93"/>
    </row>
    <row r="2058" spans="30:36" ht="18">
      <c r="AD2058" s="93"/>
      <c r="AE2058" s="214"/>
      <c r="AF2058" s="93"/>
      <c r="AG2058" s="93"/>
      <c r="AH2058" s="93"/>
      <c r="AI2058" s="93"/>
      <c r="AJ2058" s="93"/>
    </row>
    <row r="2059" spans="30:36" ht="18">
      <c r="AD2059" s="93"/>
      <c r="AE2059" s="214"/>
      <c r="AF2059" s="93"/>
      <c r="AG2059" s="93"/>
      <c r="AH2059" s="93"/>
      <c r="AI2059" s="93"/>
      <c r="AJ2059" s="93"/>
    </row>
    <row r="2060" spans="30:36" ht="18">
      <c r="AD2060" s="93"/>
      <c r="AE2060" s="215"/>
      <c r="AF2060" s="93"/>
      <c r="AG2060" s="93"/>
      <c r="AH2060" s="93"/>
      <c r="AI2060" s="93"/>
      <c r="AJ2060" s="93"/>
    </row>
    <row r="2061" spans="30:36" ht="18">
      <c r="AD2061" s="93"/>
      <c r="AE2061" s="215"/>
      <c r="AF2061" s="93"/>
      <c r="AG2061" s="93"/>
      <c r="AH2061" s="93"/>
      <c r="AI2061" s="93"/>
      <c r="AJ2061" s="93"/>
    </row>
    <row r="2062" spans="30:36" ht="18">
      <c r="AD2062" s="93"/>
      <c r="AE2062" s="214"/>
      <c r="AF2062" s="93"/>
      <c r="AG2062" s="93"/>
      <c r="AH2062" s="93"/>
      <c r="AI2062" s="93"/>
      <c r="AJ2062" s="93"/>
    </row>
    <row r="2063" spans="30:36" ht="18">
      <c r="AD2063" s="93"/>
      <c r="AE2063" s="214"/>
      <c r="AF2063" s="93"/>
      <c r="AG2063" s="93"/>
      <c r="AH2063" s="93"/>
      <c r="AI2063" s="93"/>
      <c r="AJ2063" s="93"/>
    </row>
    <row r="2064" spans="30:36" ht="18">
      <c r="AD2064" s="93"/>
      <c r="AE2064" s="214"/>
      <c r="AF2064" s="93"/>
      <c r="AG2064" s="93"/>
      <c r="AH2064" s="93"/>
      <c r="AI2064" s="93"/>
      <c r="AJ2064" s="93"/>
    </row>
    <row r="2065" spans="30:36" ht="18">
      <c r="AD2065" s="93"/>
      <c r="AE2065" s="214"/>
      <c r="AF2065" s="93"/>
      <c r="AG2065" s="93"/>
      <c r="AH2065" s="93"/>
      <c r="AI2065" s="93"/>
      <c r="AJ2065" s="93"/>
    </row>
    <row r="2066" spans="30:36" ht="18">
      <c r="AD2066" s="93"/>
      <c r="AE2066" s="214"/>
      <c r="AF2066" s="93"/>
      <c r="AG2066" s="93"/>
      <c r="AH2066" s="93"/>
      <c r="AI2066" s="93"/>
      <c r="AJ2066" s="93"/>
    </row>
    <row r="2067" spans="30:36" ht="18">
      <c r="AD2067" s="93"/>
      <c r="AE2067" s="215"/>
      <c r="AF2067" s="93"/>
      <c r="AG2067" s="93"/>
      <c r="AH2067" s="93"/>
      <c r="AI2067" s="93"/>
      <c r="AJ2067" s="93"/>
    </row>
    <row r="2068" spans="30:36" ht="18">
      <c r="AD2068" s="93"/>
      <c r="AE2068" s="215"/>
      <c r="AF2068" s="93"/>
      <c r="AG2068" s="93"/>
      <c r="AH2068" s="93"/>
      <c r="AI2068" s="93"/>
      <c r="AJ2068" s="93"/>
    </row>
    <row r="2069" spans="30:36" ht="18">
      <c r="AD2069" s="93"/>
      <c r="AE2069" s="214"/>
      <c r="AF2069" s="93"/>
      <c r="AG2069" s="93"/>
      <c r="AH2069" s="93"/>
      <c r="AI2069" s="93"/>
      <c r="AJ2069" s="93"/>
    </row>
    <row r="2070" spans="30:36" ht="18">
      <c r="AD2070" s="93"/>
      <c r="AE2070" s="214"/>
      <c r="AF2070" s="93"/>
      <c r="AG2070" s="93"/>
      <c r="AH2070" s="93"/>
      <c r="AI2070" s="93"/>
      <c r="AJ2070" s="93"/>
    </row>
    <row r="2071" spans="30:36" ht="18">
      <c r="AD2071" s="93"/>
      <c r="AE2071" s="214"/>
      <c r="AF2071" s="93"/>
      <c r="AG2071" s="93"/>
      <c r="AH2071" s="93"/>
      <c r="AI2071" s="93"/>
      <c r="AJ2071" s="93"/>
    </row>
    <row r="2072" spans="30:36" ht="18">
      <c r="AD2072" s="93"/>
      <c r="AE2072" s="214"/>
      <c r="AF2072" s="93"/>
      <c r="AG2072" s="93"/>
      <c r="AH2072" s="93"/>
      <c r="AI2072" s="93"/>
      <c r="AJ2072" s="93"/>
    </row>
    <row r="2073" spans="30:36" ht="18">
      <c r="AD2073" s="93"/>
      <c r="AE2073" s="215"/>
      <c r="AF2073" s="93"/>
      <c r="AG2073" s="93"/>
      <c r="AH2073" s="93"/>
      <c r="AI2073" s="93"/>
      <c r="AJ2073" s="93"/>
    </row>
    <row r="2074" spans="30:36" ht="18">
      <c r="AD2074" s="93"/>
      <c r="AE2074" s="215"/>
      <c r="AF2074" s="93"/>
      <c r="AG2074" s="93"/>
      <c r="AH2074" s="93"/>
      <c r="AI2074" s="93"/>
      <c r="AJ2074" s="93"/>
    </row>
    <row r="2075" spans="30:36" ht="18">
      <c r="AD2075" s="93"/>
      <c r="AE2075" s="214"/>
      <c r="AF2075" s="93"/>
      <c r="AG2075" s="93"/>
      <c r="AH2075" s="93"/>
      <c r="AI2075" s="93"/>
      <c r="AJ2075" s="93"/>
    </row>
    <row r="2076" spans="30:36" ht="18">
      <c r="AD2076" s="93"/>
      <c r="AE2076" s="214"/>
      <c r="AF2076" s="93"/>
      <c r="AG2076" s="93"/>
      <c r="AH2076" s="93"/>
      <c r="AI2076" s="93"/>
      <c r="AJ2076" s="93"/>
    </row>
    <row r="2077" spans="30:36" ht="18">
      <c r="AD2077" s="93"/>
      <c r="AE2077" s="214"/>
      <c r="AF2077" s="93"/>
      <c r="AG2077" s="93"/>
      <c r="AH2077" s="93"/>
      <c r="AI2077" s="93"/>
      <c r="AJ2077" s="93"/>
    </row>
    <row r="2078" spans="30:36" ht="18">
      <c r="AD2078" s="93"/>
      <c r="AE2078" s="214"/>
      <c r="AF2078" s="93"/>
      <c r="AG2078" s="93"/>
      <c r="AH2078" s="93"/>
      <c r="AI2078" s="93"/>
      <c r="AJ2078" s="93"/>
    </row>
    <row r="2079" spans="30:36" ht="18">
      <c r="AD2079" s="93"/>
      <c r="AE2079" s="215"/>
      <c r="AF2079" s="93"/>
      <c r="AG2079" s="93"/>
      <c r="AH2079" s="93"/>
      <c r="AI2079" s="93"/>
      <c r="AJ2079" s="93"/>
    </row>
    <row r="2080" spans="30:36" ht="18">
      <c r="AD2080" s="93"/>
      <c r="AE2080" s="215"/>
      <c r="AF2080" s="93"/>
      <c r="AG2080" s="93"/>
      <c r="AH2080" s="93"/>
      <c r="AI2080" s="93"/>
      <c r="AJ2080" s="93"/>
    </row>
    <row r="2081" spans="30:36" ht="18">
      <c r="AD2081" s="93"/>
      <c r="AE2081" s="214"/>
      <c r="AF2081" s="93"/>
      <c r="AG2081" s="93"/>
      <c r="AH2081" s="93"/>
      <c r="AI2081" s="93"/>
      <c r="AJ2081" s="93"/>
    </row>
    <row r="2082" spans="30:36" ht="18">
      <c r="AD2082" s="93"/>
      <c r="AE2082" s="214"/>
      <c r="AF2082" s="93"/>
      <c r="AG2082" s="93"/>
      <c r="AH2082" s="93"/>
      <c r="AI2082" s="93"/>
      <c r="AJ2082" s="93"/>
    </row>
    <row r="2083" spans="30:36" ht="18">
      <c r="AD2083" s="93"/>
      <c r="AE2083" s="214"/>
      <c r="AF2083" s="93"/>
      <c r="AG2083" s="93"/>
      <c r="AH2083" s="93"/>
      <c r="AI2083" s="93"/>
      <c r="AJ2083" s="93"/>
    </row>
    <row r="2084" spans="30:36" ht="18">
      <c r="AD2084" s="93"/>
      <c r="AE2084" s="214"/>
      <c r="AF2084" s="93"/>
      <c r="AG2084" s="93"/>
      <c r="AH2084" s="93"/>
      <c r="AI2084" s="93"/>
      <c r="AJ2084" s="93"/>
    </row>
    <row r="2085" spans="30:36" ht="18">
      <c r="AD2085" s="93"/>
      <c r="AE2085" s="214"/>
      <c r="AF2085" s="93"/>
      <c r="AG2085" s="93"/>
      <c r="AH2085" s="93"/>
      <c r="AI2085" s="93"/>
      <c r="AJ2085" s="93"/>
    </row>
    <row r="2086" spans="30:36" ht="18">
      <c r="AD2086" s="93"/>
      <c r="AE2086" s="214"/>
      <c r="AF2086" s="93"/>
      <c r="AG2086" s="93"/>
      <c r="AH2086" s="93"/>
      <c r="AI2086" s="93"/>
      <c r="AJ2086" s="93"/>
    </row>
    <row r="2087" spans="30:36" ht="18">
      <c r="AD2087" s="93"/>
      <c r="AE2087" s="214"/>
      <c r="AF2087" s="93"/>
      <c r="AG2087" s="93"/>
      <c r="AH2087" s="93"/>
      <c r="AI2087" s="93"/>
      <c r="AJ2087" s="93"/>
    </row>
    <row r="2088" spans="30:36" ht="18">
      <c r="AD2088" s="93"/>
      <c r="AE2088" s="214"/>
      <c r="AF2088" s="93"/>
      <c r="AG2088" s="93"/>
      <c r="AH2088" s="93"/>
      <c r="AI2088" s="93"/>
      <c r="AJ2088" s="93"/>
    </row>
    <row r="2089" spans="30:36" ht="18">
      <c r="AD2089" s="93"/>
      <c r="AE2089" s="215"/>
      <c r="AF2089" s="93"/>
      <c r="AG2089" s="93"/>
      <c r="AH2089" s="93"/>
      <c r="AI2089" s="93"/>
      <c r="AJ2089" s="93"/>
    </row>
    <row r="2090" spans="30:36" ht="18">
      <c r="AD2090" s="93"/>
      <c r="AE2090" s="215"/>
      <c r="AF2090" s="93"/>
      <c r="AG2090" s="93"/>
      <c r="AH2090" s="93"/>
      <c r="AI2090" s="93"/>
      <c r="AJ2090" s="93"/>
    </row>
    <row r="2091" spans="30:36" ht="18">
      <c r="AD2091" s="93"/>
      <c r="AE2091" s="214"/>
      <c r="AF2091" s="93"/>
      <c r="AG2091" s="93"/>
      <c r="AH2091" s="93"/>
      <c r="AI2091" s="93"/>
      <c r="AJ2091" s="93"/>
    </row>
    <row r="2092" spans="30:36" ht="18">
      <c r="AD2092" s="93"/>
      <c r="AE2092" s="214"/>
      <c r="AF2092" s="93"/>
      <c r="AG2092" s="93"/>
      <c r="AH2092" s="93"/>
      <c r="AI2092" s="93"/>
      <c r="AJ2092" s="93"/>
    </row>
    <row r="2093" spans="30:36" ht="18">
      <c r="AD2093" s="93"/>
      <c r="AE2093" s="214"/>
      <c r="AF2093" s="93"/>
      <c r="AG2093" s="93"/>
      <c r="AH2093" s="93"/>
      <c r="AI2093" s="93"/>
      <c r="AJ2093" s="93"/>
    </row>
    <row r="2094" spans="30:36" ht="18">
      <c r="AD2094" s="93"/>
      <c r="AE2094" s="214"/>
      <c r="AF2094" s="93"/>
      <c r="AG2094" s="93"/>
      <c r="AH2094" s="93"/>
      <c r="AI2094" s="93"/>
      <c r="AJ2094" s="93"/>
    </row>
    <row r="2095" spans="30:36" ht="18">
      <c r="AD2095" s="93"/>
      <c r="AE2095" s="214"/>
      <c r="AF2095" s="93"/>
      <c r="AG2095" s="93"/>
      <c r="AH2095" s="93"/>
      <c r="AI2095" s="93"/>
      <c r="AJ2095" s="93"/>
    </row>
    <row r="2096" spans="30:36" ht="18">
      <c r="AD2096" s="93"/>
      <c r="AE2096" s="214"/>
      <c r="AF2096" s="93"/>
      <c r="AG2096" s="93"/>
      <c r="AH2096" s="93"/>
      <c r="AI2096" s="93"/>
      <c r="AJ2096" s="93"/>
    </row>
    <row r="2097" spans="30:36" ht="18">
      <c r="AD2097" s="93"/>
      <c r="AE2097" s="214"/>
      <c r="AF2097" s="93"/>
      <c r="AG2097" s="93"/>
      <c r="AH2097" s="93"/>
      <c r="AI2097" s="93"/>
      <c r="AJ2097" s="93"/>
    </row>
    <row r="2098" spans="30:36" ht="18">
      <c r="AD2098" s="93"/>
      <c r="AE2098" s="214"/>
      <c r="AF2098" s="93"/>
      <c r="AG2098" s="93"/>
      <c r="AH2098" s="93"/>
      <c r="AI2098" s="93"/>
      <c r="AJ2098" s="93"/>
    </row>
    <row r="2099" spans="30:36" ht="18">
      <c r="AD2099" s="93"/>
      <c r="AE2099" s="214"/>
      <c r="AF2099" s="93"/>
      <c r="AG2099" s="93"/>
      <c r="AH2099" s="93"/>
      <c r="AI2099" s="93"/>
      <c r="AJ2099" s="93"/>
    </row>
    <row r="2100" spans="30:36" ht="18">
      <c r="AD2100" s="93"/>
      <c r="AE2100" s="214"/>
      <c r="AF2100" s="93"/>
      <c r="AG2100" s="93"/>
      <c r="AH2100" s="93"/>
      <c r="AI2100" s="93"/>
      <c r="AJ2100" s="93"/>
    </row>
    <row r="2101" spans="30:36" ht="18">
      <c r="AD2101" s="93"/>
      <c r="AE2101" s="214"/>
      <c r="AF2101" s="93"/>
      <c r="AG2101" s="93"/>
      <c r="AH2101" s="93"/>
      <c r="AI2101" s="93"/>
      <c r="AJ2101" s="93"/>
    </row>
    <row r="2102" spans="30:36" ht="18">
      <c r="AD2102" s="93"/>
      <c r="AE2102" s="214"/>
      <c r="AF2102" s="93"/>
      <c r="AG2102" s="93"/>
      <c r="AH2102" s="93"/>
      <c r="AI2102" s="93"/>
      <c r="AJ2102" s="93"/>
    </row>
    <row r="2103" spans="30:36" ht="18">
      <c r="AD2103" s="93"/>
      <c r="AE2103" s="215"/>
      <c r="AF2103" s="93"/>
      <c r="AG2103" s="93"/>
      <c r="AH2103" s="93"/>
      <c r="AI2103" s="93"/>
      <c r="AJ2103" s="93"/>
    </row>
    <row r="2104" spans="30:36" ht="18">
      <c r="AD2104" s="93"/>
      <c r="AE2104" s="214"/>
      <c r="AF2104" s="93"/>
      <c r="AG2104" s="93"/>
      <c r="AH2104" s="93"/>
      <c r="AI2104" s="93"/>
      <c r="AJ2104" s="93"/>
    </row>
    <row r="2105" spans="30:36" ht="18">
      <c r="AD2105" s="93"/>
      <c r="AE2105" s="214"/>
      <c r="AF2105" s="93"/>
      <c r="AG2105" s="93"/>
      <c r="AH2105" s="93"/>
      <c r="AI2105" s="93"/>
      <c r="AJ2105" s="93"/>
    </row>
    <row r="2106" spans="30:36" ht="18">
      <c r="AD2106" s="93"/>
      <c r="AE2106" s="214"/>
      <c r="AF2106" s="93"/>
      <c r="AG2106" s="93"/>
      <c r="AH2106" s="93"/>
      <c r="AI2106" s="93"/>
      <c r="AJ2106" s="93"/>
    </row>
    <row r="2107" spans="30:36" ht="18">
      <c r="AD2107" s="93"/>
      <c r="AE2107" s="214"/>
      <c r="AF2107" s="93"/>
      <c r="AG2107" s="93"/>
      <c r="AH2107" s="93"/>
      <c r="AI2107" s="93"/>
      <c r="AJ2107" s="93"/>
    </row>
    <row r="2108" spans="30:36" ht="18">
      <c r="AD2108" s="93"/>
      <c r="AE2108" s="214"/>
      <c r="AF2108" s="93"/>
      <c r="AG2108" s="93"/>
      <c r="AH2108" s="93"/>
      <c r="AI2108" s="93"/>
      <c r="AJ2108" s="93"/>
    </row>
    <row r="2109" spans="30:36" ht="18">
      <c r="AD2109" s="93"/>
      <c r="AE2109" s="214"/>
      <c r="AF2109" s="93"/>
      <c r="AG2109" s="93"/>
      <c r="AH2109" s="93"/>
      <c r="AI2109" s="93"/>
      <c r="AJ2109" s="93"/>
    </row>
    <row r="2110" spans="30:36" ht="18">
      <c r="AD2110" s="93"/>
      <c r="AE2110" s="214"/>
      <c r="AF2110" s="93"/>
      <c r="AG2110" s="93"/>
      <c r="AH2110" s="93"/>
      <c r="AI2110" s="93"/>
      <c r="AJ2110" s="93"/>
    </row>
    <row r="2111" spans="30:36" ht="18">
      <c r="AD2111" s="93"/>
      <c r="AE2111" s="214"/>
      <c r="AF2111" s="93"/>
      <c r="AG2111" s="93"/>
      <c r="AH2111" s="93"/>
      <c r="AI2111" s="93"/>
      <c r="AJ2111" s="93"/>
    </row>
    <row r="2112" spans="30:36" ht="18">
      <c r="AD2112" s="93"/>
      <c r="AE2112" s="214"/>
      <c r="AF2112" s="93"/>
      <c r="AG2112" s="93"/>
      <c r="AH2112" s="93"/>
      <c r="AI2112" s="93"/>
      <c r="AJ2112" s="93"/>
    </row>
    <row r="2113" spans="30:36" ht="18">
      <c r="AD2113" s="93"/>
      <c r="AE2113" s="214"/>
      <c r="AF2113" s="93"/>
      <c r="AG2113" s="93"/>
      <c r="AH2113" s="93"/>
      <c r="AI2113" s="93"/>
      <c r="AJ2113" s="93"/>
    </row>
    <row r="2114" spans="30:36" ht="18">
      <c r="AD2114" s="93"/>
      <c r="AE2114" s="214"/>
      <c r="AF2114" s="93"/>
      <c r="AG2114" s="93"/>
      <c r="AH2114" s="93"/>
      <c r="AI2114" s="93"/>
      <c r="AJ2114" s="93"/>
    </row>
    <row r="2115" spans="30:36" ht="18">
      <c r="AD2115" s="93"/>
      <c r="AE2115" s="214"/>
      <c r="AF2115" s="93"/>
      <c r="AG2115" s="93"/>
      <c r="AH2115" s="93"/>
      <c r="AI2115" s="93"/>
      <c r="AJ2115" s="93"/>
    </row>
    <row r="2116" spans="30:36" ht="18">
      <c r="AD2116" s="93"/>
      <c r="AE2116" s="214"/>
      <c r="AF2116" s="93"/>
      <c r="AG2116" s="93"/>
      <c r="AH2116" s="93"/>
      <c r="AI2116" s="93"/>
      <c r="AJ2116" s="93"/>
    </row>
    <row r="2117" spans="30:36" ht="18">
      <c r="AD2117" s="93"/>
      <c r="AE2117" s="214"/>
      <c r="AF2117" s="93"/>
      <c r="AG2117" s="93"/>
      <c r="AH2117" s="93"/>
      <c r="AI2117" s="93"/>
      <c r="AJ2117" s="93"/>
    </row>
    <row r="2118" spans="30:36" ht="18">
      <c r="AD2118" s="93"/>
      <c r="AE2118" s="214"/>
      <c r="AF2118" s="93"/>
      <c r="AG2118" s="93"/>
      <c r="AH2118" s="93"/>
      <c r="AI2118" s="93"/>
      <c r="AJ2118" s="93"/>
    </row>
    <row r="2119" spans="30:36" ht="18">
      <c r="AD2119" s="93"/>
      <c r="AE2119" s="215"/>
      <c r="AF2119" s="93"/>
      <c r="AG2119" s="93"/>
      <c r="AH2119" s="93"/>
      <c r="AI2119" s="93"/>
      <c r="AJ2119" s="93"/>
    </row>
    <row r="2120" spans="30:36" ht="18">
      <c r="AD2120" s="93"/>
      <c r="AE2120" s="214"/>
      <c r="AF2120" s="93"/>
      <c r="AG2120" s="93"/>
      <c r="AH2120" s="93"/>
      <c r="AI2120" s="93"/>
      <c r="AJ2120" s="93"/>
    </row>
    <row r="2121" spans="30:36" ht="18">
      <c r="AD2121" s="93"/>
      <c r="AE2121" s="214"/>
      <c r="AF2121" s="93"/>
      <c r="AG2121" s="93"/>
      <c r="AH2121" s="93"/>
      <c r="AI2121" s="93"/>
      <c r="AJ2121" s="93"/>
    </row>
    <row r="2122" spans="30:36" ht="18">
      <c r="AD2122" s="93"/>
      <c r="AE2122" s="214"/>
      <c r="AF2122" s="93"/>
      <c r="AG2122" s="93"/>
      <c r="AH2122" s="93"/>
      <c r="AI2122" s="93"/>
      <c r="AJ2122" s="93"/>
    </row>
    <row r="2123" spans="30:36" ht="18">
      <c r="AD2123" s="93"/>
      <c r="AE2123" s="214"/>
      <c r="AF2123" s="93"/>
      <c r="AG2123" s="93"/>
      <c r="AH2123" s="93"/>
      <c r="AI2123" s="93"/>
      <c r="AJ2123" s="93"/>
    </row>
    <row r="2124" spans="30:36" ht="18">
      <c r="AD2124" s="93"/>
      <c r="AE2124" s="214"/>
      <c r="AF2124" s="93"/>
      <c r="AG2124" s="93"/>
      <c r="AH2124" s="93"/>
      <c r="AI2124" s="93"/>
      <c r="AJ2124" s="93"/>
    </row>
    <row r="2125" spans="30:36" ht="18">
      <c r="AD2125" s="93"/>
      <c r="AE2125" s="214"/>
      <c r="AF2125" s="93"/>
      <c r="AG2125" s="93"/>
      <c r="AH2125" s="93"/>
      <c r="AI2125" s="93"/>
      <c r="AJ2125" s="93"/>
    </row>
    <row r="2126" spans="30:36" ht="18">
      <c r="AD2126" s="93"/>
      <c r="AE2126" s="214"/>
      <c r="AF2126" s="93"/>
      <c r="AG2126" s="93"/>
      <c r="AH2126" s="93"/>
      <c r="AI2126" s="93"/>
      <c r="AJ2126" s="93"/>
    </row>
    <row r="2127" spans="30:36" ht="18">
      <c r="AD2127" s="93"/>
      <c r="AE2127" s="215"/>
      <c r="AF2127" s="93"/>
      <c r="AG2127" s="93"/>
      <c r="AH2127" s="93"/>
      <c r="AI2127" s="93"/>
      <c r="AJ2127" s="93"/>
    </row>
    <row r="2128" spans="30:36" ht="18">
      <c r="AD2128" s="93"/>
      <c r="AE2128" s="215"/>
      <c r="AF2128" s="93"/>
      <c r="AG2128" s="93"/>
      <c r="AH2128" s="93"/>
      <c r="AI2128" s="93"/>
      <c r="AJ2128" s="93"/>
    </row>
    <row r="2129" spans="30:36" ht="18">
      <c r="AD2129" s="93"/>
      <c r="AE2129" s="214"/>
      <c r="AF2129" s="93"/>
      <c r="AG2129" s="93"/>
      <c r="AH2129" s="93"/>
      <c r="AI2129" s="93"/>
      <c r="AJ2129" s="93"/>
    </row>
    <row r="2130" spans="30:36" ht="18">
      <c r="AD2130" s="93"/>
      <c r="AE2130" s="214"/>
      <c r="AF2130" s="93"/>
      <c r="AG2130" s="93"/>
      <c r="AH2130" s="93"/>
      <c r="AI2130" s="93"/>
      <c r="AJ2130" s="93"/>
    </row>
    <row r="2131" spans="30:36" ht="18">
      <c r="AD2131" s="93"/>
      <c r="AE2131" s="214"/>
      <c r="AF2131" s="93"/>
      <c r="AG2131" s="93"/>
      <c r="AH2131" s="93"/>
      <c r="AI2131" s="93"/>
      <c r="AJ2131" s="93"/>
    </row>
    <row r="2132" spans="30:36" ht="18">
      <c r="AD2132" s="93"/>
      <c r="AE2132" s="214"/>
      <c r="AF2132" s="93"/>
      <c r="AG2132" s="93"/>
      <c r="AH2132" s="93"/>
      <c r="AI2132" s="93"/>
      <c r="AJ2132" s="93"/>
    </row>
    <row r="2133" spans="30:36" ht="18">
      <c r="AD2133" s="93"/>
      <c r="AE2133" s="214"/>
      <c r="AF2133" s="93"/>
      <c r="AG2133" s="93"/>
      <c r="AH2133" s="93"/>
      <c r="AI2133" s="93"/>
      <c r="AJ2133" s="93"/>
    </row>
    <row r="2134" spans="30:36" ht="18">
      <c r="AD2134" s="93"/>
      <c r="AE2134" s="214"/>
      <c r="AF2134" s="93"/>
      <c r="AG2134" s="93"/>
      <c r="AH2134" s="93"/>
      <c r="AI2134" s="93"/>
      <c r="AJ2134" s="93"/>
    </row>
    <row r="2135" spans="30:36" ht="18">
      <c r="AD2135" s="93"/>
      <c r="AE2135" s="214"/>
      <c r="AF2135" s="93"/>
      <c r="AG2135" s="93"/>
      <c r="AH2135" s="93"/>
      <c r="AI2135" s="93"/>
      <c r="AJ2135" s="93"/>
    </row>
    <row r="2136" spans="30:36" ht="18">
      <c r="AD2136" s="93"/>
      <c r="AE2136" s="214"/>
      <c r="AF2136" s="93"/>
      <c r="AG2136" s="93"/>
      <c r="AH2136" s="93"/>
      <c r="AI2136" s="93"/>
      <c r="AJ2136" s="93"/>
    </row>
    <row r="2137" spans="30:36" ht="18">
      <c r="AD2137" s="93"/>
      <c r="AE2137" s="214"/>
      <c r="AF2137" s="93"/>
      <c r="AG2137" s="93"/>
      <c r="AH2137" s="93"/>
      <c r="AI2137" s="93"/>
      <c r="AJ2137" s="93"/>
    </row>
    <row r="2138" spans="30:36" ht="18">
      <c r="AD2138" s="93"/>
      <c r="AE2138" s="215"/>
      <c r="AF2138" s="93"/>
      <c r="AG2138" s="93"/>
      <c r="AH2138" s="93"/>
      <c r="AI2138" s="93"/>
      <c r="AJ2138" s="93"/>
    </row>
    <row r="2139" spans="30:36" ht="18">
      <c r="AD2139" s="93"/>
      <c r="AE2139" s="215"/>
      <c r="AF2139" s="93"/>
      <c r="AG2139" s="93"/>
      <c r="AH2139" s="93"/>
      <c r="AI2139" s="93"/>
      <c r="AJ2139" s="93"/>
    </row>
    <row r="2140" spans="30:36" ht="18">
      <c r="AD2140" s="93"/>
      <c r="AE2140" s="214"/>
      <c r="AF2140" s="93"/>
      <c r="AG2140" s="93"/>
      <c r="AH2140" s="93"/>
      <c r="AI2140" s="93"/>
      <c r="AJ2140" s="93"/>
    </row>
    <row r="2141" spans="30:36" ht="18">
      <c r="AD2141" s="93"/>
      <c r="AE2141" s="214"/>
      <c r="AF2141" s="93"/>
      <c r="AG2141" s="93"/>
      <c r="AH2141" s="93"/>
      <c r="AI2141" s="93"/>
      <c r="AJ2141" s="93"/>
    </row>
    <row r="2142" spans="30:36" ht="18">
      <c r="AD2142" s="93"/>
      <c r="AE2142" s="214"/>
      <c r="AF2142" s="93"/>
      <c r="AG2142" s="93"/>
      <c r="AH2142" s="93"/>
      <c r="AI2142" s="93"/>
      <c r="AJ2142" s="93"/>
    </row>
    <row r="2143" spans="30:36" ht="18">
      <c r="AD2143" s="93"/>
      <c r="AE2143" s="215"/>
      <c r="AF2143" s="93"/>
      <c r="AG2143" s="93"/>
      <c r="AH2143" s="93"/>
      <c r="AI2143" s="93"/>
      <c r="AJ2143" s="93"/>
    </row>
    <row r="2144" spans="30:36" ht="18">
      <c r="AD2144" s="93"/>
      <c r="AE2144" s="214"/>
      <c r="AF2144" s="93"/>
      <c r="AG2144" s="93"/>
      <c r="AH2144" s="93"/>
      <c r="AI2144" s="93"/>
      <c r="AJ2144" s="93"/>
    </row>
    <row r="2145" spans="30:36" ht="18">
      <c r="AD2145" s="93"/>
      <c r="AE2145" s="214"/>
      <c r="AF2145" s="93"/>
      <c r="AG2145" s="93"/>
      <c r="AH2145" s="93"/>
      <c r="AI2145" s="93"/>
      <c r="AJ2145" s="93"/>
    </row>
    <row r="2146" spans="30:36" ht="18">
      <c r="AD2146" s="93"/>
      <c r="AE2146" s="214"/>
      <c r="AF2146" s="93"/>
      <c r="AG2146" s="93"/>
      <c r="AH2146" s="93"/>
      <c r="AI2146" s="93"/>
      <c r="AJ2146" s="93"/>
    </row>
    <row r="2147" spans="30:36" ht="18">
      <c r="AD2147" s="93"/>
      <c r="AE2147" s="214"/>
      <c r="AF2147" s="93"/>
      <c r="AG2147" s="93"/>
      <c r="AH2147" s="93"/>
      <c r="AI2147" s="93"/>
      <c r="AJ2147" s="93"/>
    </row>
    <row r="2148" spans="30:36" ht="18">
      <c r="AD2148" s="93"/>
      <c r="AE2148" s="214"/>
      <c r="AF2148" s="93"/>
      <c r="AG2148" s="93"/>
      <c r="AH2148" s="93"/>
      <c r="AI2148" s="93"/>
      <c r="AJ2148" s="93"/>
    </row>
    <row r="2149" spans="30:36" ht="18">
      <c r="AD2149" s="93"/>
      <c r="AE2149" s="214"/>
      <c r="AF2149" s="93"/>
      <c r="AG2149" s="93"/>
      <c r="AH2149" s="93"/>
      <c r="AI2149" s="93"/>
      <c r="AJ2149" s="93"/>
    </row>
    <row r="2150" spans="30:36" ht="18">
      <c r="AD2150" s="93"/>
      <c r="AE2150" s="214"/>
      <c r="AF2150" s="93"/>
      <c r="AG2150" s="93"/>
      <c r="AH2150" s="93"/>
      <c r="AI2150" s="93"/>
      <c r="AJ2150" s="93"/>
    </row>
    <row r="2151" spans="30:36" ht="18">
      <c r="AD2151" s="93"/>
      <c r="AE2151" s="214"/>
      <c r="AF2151" s="93"/>
      <c r="AG2151" s="93"/>
      <c r="AH2151" s="93"/>
      <c r="AI2151" s="93"/>
      <c r="AJ2151" s="93"/>
    </row>
    <row r="2152" spans="30:36" ht="18">
      <c r="AD2152" s="93"/>
      <c r="AE2152" s="214"/>
      <c r="AF2152" s="93"/>
      <c r="AG2152" s="93"/>
      <c r="AH2152" s="93"/>
      <c r="AI2152" s="93"/>
      <c r="AJ2152" s="93"/>
    </row>
    <row r="2153" spans="30:36" ht="18">
      <c r="AD2153" s="93"/>
      <c r="AE2153" s="214"/>
      <c r="AF2153" s="93"/>
      <c r="AG2153" s="93"/>
      <c r="AH2153" s="93"/>
      <c r="AI2153" s="93"/>
      <c r="AJ2153" s="93"/>
    </row>
    <row r="2154" spans="30:36" ht="18">
      <c r="AD2154" s="93"/>
      <c r="AE2154" s="214"/>
      <c r="AF2154" s="93"/>
      <c r="AG2154" s="93"/>
      <c r="AH2154" s="93"/>
      <c r="AI2154" s="93"/>
      <c r="AJ2154" s="93"/>
    </row>
    <row r="2155" spans="30:36" ht="18">
      <c r="AD2155" s="93"/>
      <c r="AE2155" s="214"/>
      <c r="AF2155" s="93"/>
      <c r="AG2155" s="93"/>
      <c r="AH2155" s="93"/>
      <c r="AI2155" s="93"/>
      <c r="AJ2155" s="93"/>
    </row>
    <row r="2156" spans="30:36" ht="18">
      <c r="AD2156" s="93"/>
      <c r="AE2156" s="214"/>
      <c r="AF2156" s="93"/>
      <c r="AG2156" s="93"/>
      <c r="AH2156" s="93"/>
      <c r="AI2156" s="93"/>
      <c r="AJ2156" s="93"/>
    </row>
    <row r="2157" spans="30:36" ht="18">
      <c r="AD2157" s="93"/>
      <c r="AE2157" s="214"/>
      <c r="AF2157" s="93"/>
      <c r="AG2157" s="93"/>
      <c r="AH2157" s="93"/>
      <c r="AI2157" s="93"/>
      <c r="AJ2157" s="93"/>
    </row>
    <row r="2158" spans="30:36" ht="18">
      <c r="AD2158" s="93"/>
      <c r="AE2158" s="214"/>
      <c r="AF2158" s="93"/>
      <c r="AG2158" s="93"/>
      <c r="AH2158" s="93"/>
      <c r="AI2158" s="93"/>
      <c r="AJ2158" s="93"/>
    </row>
    <row r="2159" spans="30:36" ht="18">
      <c r="AD2159" s="93"/>
      <c r="AE2159" s="214"/>
      <c r="AF2159" s="93"/>
      <c r="AG2159" s="93"/>
      <c r="AH2159" s="93"/>
      <c r="AI2159" s="93"/>
      <c r="AJ2159" s="93"/>
    </row>
    <row r="2160" spans="30:36" ht="18">
      <c r="AD2160" s="93"/>
      <c r="AE2160" s="214"/>
      <c r="AF2160" s="93"/>
      <c r="AG2160" s="93"/>
      <c r="AH2160" s="93"/>
      <c r="AI2160" s="93"/>
      <c r="AJ2160" s="93"/>
    </row>
    <row r="2161" spans="30:36" ht="18">
      <c r="AD2161" s="93"/>
      <c r="AE2161" s="214"/>
      <c r="AF2161" s="93"/>
      <c r="AG2161" s="93"/>
      <c r="AH2161" s="93"/>
      <c r="AI2161" s="93"/>
      <c r="AJ2161" s="93"/>
    </row>
    <row r="2162" spans="30:36" ht="18">
      <c r="AD2162" s="93"/>
      <c r="AE2162" s="214"/>
      <c r="AF2162" s="93"/>
      <c r="AG2162" s="93"/>
      <c r="AH2162" s="93"/>
      <c r="AI2162" s="93"/>
      <c r="AJ2162" s="93"/>
    </row>
    <row r="2163" spans="30:36" ht="18">
      <c r="AD2163" s="93"/>
      <c r="AE2163" s="215"/>
      <c r="AF2163" s="93"/>
      <c r="AG2163" s="93"/>
      <c r="AH2163" s="93"/>
      <c r="AI2163" s="93"/>
      <c r="AJ2163" s="93"/>
    </row>
    <row r="2164" spans="30:36" ht="18">
      <c r="AD2164" s="93"/>
      <c r="AE2164" s="215"/>
      <c r="AF2164" s="93"/>
      <c r="AG2164" s="93"/>
      <c r="AH2164" s="93"/>
      <c r="AI2164" s="93"/>
      <c r="AJ2164" s="93"/>
    </row>
    <row r="2165" spans="30:36" ht="18">
      <c r="AD2165" s="93"/>
      <c r="AE2165" s="214"/>
      <c r="AF2165" s="93"/>
      <c r="AG2165" s="93"/>
      <c r="AH2165" s="93"/>
      <c r="AI2165" s="93"/>
      <c r="AJ2165" s="93"/>
    </row>
    <row r="2166" spans="30:36" ht="18">
      <c r="AD2166" s="93"/>
      <c r="AE2166" s="214"/>
      <c r="AF2166" s="93"/>
      <c r="AG2166" s="93"/>
      <c r="AH2166" s="93"/>
      <c r="AI2166" s="93"/>
      <c r="AJ2166" s="93"/>
    </row>
    <row r="2167" spans="30:36" ht="18">
      <c r="AD2167" s="93"/>
      <c r="AE2167" s="214"/>
      <c r="AF2167" s="93"/>
      <c r="AG2167" s="93"/>
      <c r="AH2167" s="93"/>
      <c r="AI2167" s="93"/>
      <c r="AJ2167" s="93"/>
    </row>
    <row r="2168" spans="30:36" ht="18">
      <c r="AD2168" s="93"/>
      <c r="AE2168" s="215"/>
      <c r="AF2168" s="93"/>
      <c r="AG2168" s="93"/>
      <c r="AH2168" s="93"/>
      <c r="AI2168" s="93"/>
      <c r="AJ2168" s="93"/>
    </row>
    <row r="2169" spans="30:36" ht="18">
      <c r="AD2169" s="93"/>
      <c r="AE2169" s="214"/>
      <c r="AF2169" s="93"/>
      <c r="AG2169" s="93"/>
      <c r="AH2169" s="93"/>
      <c r="AI2169" s="93"/>
      <c r="AJ2169" s="93"/>
    </row>
    <row r="2170" spans="30:36" ht="18">
      <c r="AD2170" s="93"/>
      <c r="AE2170" s="214"/>
      <c r="AF2170" s="93"/>
      <c r="AG2170" s="93"/>
      <c r="AH2170" s="93"/>
      <c r="AI2170" s="93"/>
      <c r="AJ2170" s="93"/>
    </row>
    <row r="2171" spans="30:36" ht="18">
      <c r="AD2171" s="93"/>
      <c r="AE2171" s="214"/>
      <c r="AF2171" s="93"/>
      <c r="AG2171" s="93"/>
      <c r="AH2171" s="93"/>
      <c r="AI2171" s="93"/>
      <c r="AJ2171" s="93"/>
    </row>
    <row r="2172" spans="30:36" ht="18">
      <c r="AD2172" s="93"/>
      <c r="AE2172" s="214"/>
      <c r="AF2172" s="93"/>
      <c r="AG2172" s="93"/>
      <c r="AH2172" s="93"/>
      <c r="AI2172" s="93"/>
      <c r="AJ2172" s="93"/>
    </row>
    <row r="2173" spans="30:36" ht="18">
      <c r="AD2173" s="93"/>
      <c r="AE2173" s="214"/>
      <c r="AF2173" s="93"/>
      <c r="AG2173" s="93"/>
      <c r="AH2173" s="93"/>
      <c r="AI2173" s="93"/>
      <c r="AJ2173" s="93"/>
    </row>
    <row r="2174" spans="30:36" ht="18">
      <c r="AD2174" s="93"/>
      <c r="AE2174" s="215"/>
      <c r="AF2174" s="93"/>
      <c r="AG2174" s="93"/>
      <c r="AH2174" s="93"/>
      <c r="AI2174" s="93"/>
      <c r="AJ2174" s="93"/>
    </row>
    <row r="2175" spans="30:36" ht="18">
      <c r="AD2175" s="93"/>
      <c r="AE2175" s="215"/>
      <c r="AF2175" s="93"/>
      <c r="AG2175" s="93"/>
      <c r="AH2175" s="93"/>
      <c r="AI2175" s="93"/>
      <c r="AJ2175" s="93"/>
    </row>
    <row r="2176" spans="30:36" ht="18">
      <c r="AD2176" s="93"/>
      <c r="AE2176" s="214"/>
      <c r="AF2176" s="93"/>
      <c r="AG2176" s="93"/>
      <c r="AH2176" s="93"/>
      <c r="AI2176" s="93"/>
      <c r="AJ2176" s="93"/>
    </row>
    <row r="2177" spans="30:36" ht="18">
      <c r="AD2177" s="93"/>
      <c r="AE2177" s="214"/>
      <c r="AF2177" s="93"/>
      <c r="AG2177" s="93"/>
      <c r="AH2177" s="93"/>
      <c r="AI2177" s="93"/>
      <c r="AJ2177" s="93"/>
    </row>
    <row r="2178" spans="30:36" ht="18">
      <c r="AD2178" s="93"/>
      <c r="AE2178" s="214"/>
      <c r="AF2178" s="93"/>
      <c r="AG2178" s="93"/>
      <c r="AH2178" s="93"/>
      <c r="AI2178" s="93"/>
      <c r="AJ2178" s="93"/>
    </row>
    <row r="2179" spans="30:36" ht="18">
      <c r="AD2179" s="93"/>
      <c r="AE2179" s="214"/>
      <c r="AF2179" s="93"/>
      <c r="AG2179" s="93"/>
      <c r="AH2179" s="93"/>
      <c r="AI2179" s="93"/>
      <c r="AJ2179" s="93"/>
    </row>
    <row r="2180" spans="30:36" ht="18">
      <c r="AD2180" s="93"/>
      <c r="AE2180" s="214"/>
      <c r="AF2180" s="93"/>
      <c r="AG2180" s="93"/>
      <c r="AH2180" s="93"/>
      <c r="AI2180" s="93"/>
      <c r="AJ2180" s="93"/>
    </row>
    <row r="2181" spans="30:36" ht="18">
      <c r="AD2181" s="93"/>
      <c r="AE2181" s="214"/>
      <c r="AF2181" s="93"/>
      <c r="AG2181" s="93"/>
      <c r="AH2181" s="93"/>
      <c r="AI2181" s="93"/>
      <c r="AJ2181" s="93"/>
    </row>
    <row r="2182" spans="30:36" ht="18">
      <c r="AD2182" s="93"/>
      <c r="AE2182" s="214"/>
      <c r="AF2182" s="93"/>
      <c r="AG2182" s="93"/>
      <c r="AH2182" s="93"/>
      <c r="AI2182" s="93"/>
      <c r="AJ2182" s="93"/>
    </row>
    <row r="2183" spans="30:36" ht="18">
      <c r="AD2183" s="93"/>
      <c r="AE2183" s="215"/>
      <c r="AF2183" s="93"/>
      <c r="AG2183" s="93"/>
      <c r="AH2183" s="93"/>
      <c r="AI2183" s="93"/>
      <c r="AJ2183" s="93"/>
    </row>
    <row r="2184" spans="30:36" ht="18">
      <c r="AD2184" s="93"/>
      <c r="AE2184" s="215"/>
      <c r="AF2184" s="93"/>
      <c r="AG2184" s="93"/>
      <c r="AH2184" s="93"/>
      <c r="AI2184" s="93"/>
      <c r="AJ2184" s="93"/>
    </row>
    <row r="2185" spans="30:36" ht="18">
      <c r="AD2185" s="93"/>
      <c r="AE2185" s="214"/>
      <c r="AF2185" s="93"/>
      <c r="AG2185" s="93"/>
      <c r="AH2185" s="93"/>
      <c r="AI2185" s="93"/>
      <c r="AJ2185" s="93"/>
    </row>
    <row r="2186" spans="30:36" ht="18">
      <c r="AD2186" s="93"/>
      <c r="AE2186" s="214"/>
      <c r="AF2186" s="93"/>
      <c r="AG2186" s="93"/>
      <c r="AH2186" s="93"/>
      <c r="AI2186" s="93"/>
      <c r="AJ2186" s="93"/>
    </row>
    <row r="2187" spans="30:36" ht="18">
      <c r="AD2187" s="93"/>
      <c r="AE2187" s="214"/>
      <c r="AF2187" s="93"/>
      <c r="AG2187" s="93"/>
      <c r="AH2187" s="93"/>
      <c r="AI2187" s="93"/>
      <c r="AJ2187" s="93"/>
    </row>
    <row r="2188" spans="30:36" ht="18">
      <c r="AD2188" s="93"/>
      <c r="AE2188" s="214"/>
      <c r="AF2188" s="93"/>
      <c r="AG2188" s="93"/>
      <c r="AH2188" s="93"/>
      <c r="AI2188" s="93"/>
      <c r="AJ2188" s="93"/>
    </row>
    <row r="2189" spans="30:36" ht="18">
      <c r="AD2189" s="93"/>
      <c r="AE2189" s="214"/>
      <c r="AF2189" s="93"/>
      <c r="AG2189" s="93"/>
      <c r="AH2189" s="93"/>
      <c r="AI2189" s="93"/>
      <c r="AJ2189" s="93"/>
    </row>
    <row r="2190" spans="30:36" ht="18">
      <c r="AD2190" s="93"/>
      <c r="AE2190" s="215"/>
      <c r="AF2190" s="93"/>
      <c r="AG2190" s="93"/>
      <c r="AH2190" s="93"/>
      <c r="AI2190" s="93"/>
      <c r="AJ2190" s="93"/>
    </row>
    <row r="2191" spans="30:36" ht="18">
      <c r="AD2191" s="93"/>
      <c r="AE2191" s="215"/>
      <c r="AF2191" s="93"/>
      <c r="AG2191" s="93"/>
      <c r="AH2191" s="93"/>
      <c r="AI2191" s="93"/>
      <c r="AJ2191" s="93"/>
    </row>
    <row r="2192" spans="30:36" ht="18">
      <c r="AD2192" s="93"/>
      <c r="AE2192" s="214"/>
      <c r="AF2192" s="93"/>
      <c r="AG2192" s="93"/>
      <c r="AH2192" s="93"/>
      <c r="AI2192" s="93"/>
      <c r="AJ2192" s="93"/>
    </row>
    <row r="2193" spans="30:36" ht="18">
      <c r="AD2193" s="93"/>
      <c r="AE2193" s="214"/>
      <c r="AF2193" s="93"/>
      <c r="AG2193" s="93"/>
      <c r="AH2193" s="93"/>
      <c r="AI2193" s="93"/>
      <c r="AJ2193" s="93"/>
    </row>
    <row r="2194" spans="30:36" ht="18">
      <c r="AD2194" s="93"/>
      <c r="AE2194" s="214"/>
      <c r="AF2194" s="93"/>
      <c r="AG2194" s="93"/>
      <c r="AH2194" s="93"/>
      <c r="AI2194" s="93"/>
      <c r="AJ2194" s="93"/>
    </row>
    <row r="2195" spans="30:36" ht="18">
      <c r="AD2195" s="93"/>
      <c r="AE2195" s="214"/>
      <c r="AF2195" s="93"/>
      <c r="AG2195" s="93"/>
      <c r="AH2195" s="93"/>
      <c r="AI2195" s="93"/>
      <c r="AJ2195" s="93"/>
    </row>
    <row r="2196" spans="30:36" ht="18">
      <c r="AD2196" s="93"/>
      <c r="AE2196" s="215"/>
      <c r="AF2196" s="93"/>
      <c r="AG2196" s="93"/>
      <c r="AH2196" s="93"/>
      <c r="AI2196" s="93"/>
      <c r="AJ2196" s="93"/>
    </row>
    <row r="2197" spans="30:36" ht="18">
      <c r="AD2197" s="93"/>
      <c r="AE2197" s="215"/>
      <c r="AF2197" s="93"/>
      <c r="AG2197" s="93"/>
      <c r="AH2197" s="93"/>
      <c r="AI2197" s="93"/>
      <c r="AJ2197" s="93"/>
    </row>
    <row r="2198" spans="30:36" ht="18">
      <c r="AD2198" s="93"/>
      <c r="AE2198" s="214"/>
      <c r="AF2198" s="93"/>
      <c r="AG2198" s="93"/>
      <c r="AH2198" s="93"/>
      <c r="AI2198" s="93"/>
      <c r="AJ2198" s="93"/>
    </row>
    <row r="2199" spans="30:36" ht="18">
      <c r="AD2199" s="93"/>
      <c r="AE2199" s="214"/>
      <c r="AF2199" s="93"/>
      <c r="AG2199" s="93"/>
      <c r="AH2199" s="93"/>
      <c r="AI2199" s="93"/>
      <c r="AJ2199" s="93"/>
    </row>
    <row r="2200" spans="30:36" ht="18">
      <c r="AD2200" s="93"/>
      <c r="AE2200" s="214"/>
      <c r="AF2200" s="93"/>
      <c r="AG2200" s="93"/>
      <c r="AH2200" s="93"/>
      <c r="AI2200" s="93"/>
      <c r="AJ2200" s="93"/>
    </row>
    <row r="2201" spans="30:36" ht="18">
      <c r="AD2201" s="93"/>
      <c r="AE2201" s="214"/>
      <c r="AF2201" s="94"/>
      <c r="AG2201" s="93"/>
      <c r="AH2201" s="93"/>
      <c r="AI2201" s="93"/>
      <c r="AJ2201" s="93"/>
    </row>
    <row r="2202" spans="30:36" ht="18">
      <c r="AD2202" s="93"/>
      <c r="AE2202" s="214"/>
      <c r="AF2202" s="94"/>
      <c r="AG2202" s="93"/>
      <c r="AH2202" s="93"/>
      <c r="AI2202" s="93"/>
      <c r="AJ2202" s="93"/>
    </row>
    <row r="2203" spans="30:36" ht="18">
      <c r="AD2203" s="93"/>
      <c r="AE2203" s="214"/>
      <c r="AF2203" s="94"/>
      <c r="AG2203" s="93"/>
      <c r="AH2203" s="93"/>
      <c r="AI2203" s="93"/>
      <c r="AJ2203" s="93"/>
    </row>
    <row r="2204" spans="30:36" ht="18">
      <c r="AD2204" s="93"/>
      <c r="AE2204" s="214"/>
      <c r="AF2204" s="94"/>
      <c r="AG2204" s="93"/>
      <c r="AH2204" s="93"/>
      <c r="AI2204" s="93"/>
      <c r="AJ2204" s="93"/>
    </row>
    <row r="2205" spans="30:36" ht="18">
      <c r="AD2205" s="93"/>
      <c r="AE2205" s="214"/>
      <c r="AF2205" s="94"/>
      <c r="AG2205" s="93"/>
      <c r="AH2205" s="93"/>
      <c r="AI2205" s="93"/>
      <c r="AJ2205" s="93"/>
    </row>
    <row r="2206" spans="30:36" ht="18">
      <c r="AD2206" s="93"/>
      <c r="AE2206" s="214"/>
      <c r="AF2206" s="94"/>
      <c r="AG2206" s="93"/>
      <c r="AH2206" s="93"/>
      <c r="AI2206" s="93"/>
      <c r="AJ2206" s="93"/>
    </row>
    <row r="2207" spans="30:36" ht="18">
      <c r="AD2207" s="93"/>
      <c r="AE2207" s="214"/>
      <c r="AF2207" s="93"/>
      <c r="AG2207" s="93"/>
      <c r="AH2207" s="93"/>
      <c r="AI2207" s="93"/>
      <c r="AJ2207" s="93"/>
    </row>
    <row r="2208" spans="30:36" ht="18">
      <c r="AD2208" s="93"/>
      <c r="AE2208" s="215"/>
      <c r="AF2208" s="93"/>
      <c r="AG2208" s="93"/>
      <c r="AH2208" s="93"/>
      <c r="AI2208" s="93"/>
      <c r="AJ2208" s="93"/>
    </row>
    <row r="2209" spans="30:36" ht="18">
      <c r="AD2209" s="93"/>
      <c r="AE2209" s="215"/>
      <c r="AF2209" s="93"/>
      <c r="AG2209" s="93"/>
      <c r="AH2209" s="93"/>
      <c r="AI2209" s="93"/>
      <c r="AJ2209" s="93"/>
    </row>
    <row r="2210" spans="30:36" ht="18">
      <c r="AD2210" s="93"/>
      <c r="AE2210" s="214"/>
      <c r="AF2210" s="93"/>
      <c r="AG2210" s="93"/>
      <c r="AH2210" s="93"/>
      <c r="AI2210" s="93"/>
      <c r="AJ2210" s="93"/>
    </row>
    <row r="2211" spans="30:36" ht="18">
      <c r="AD2211" s="93"/>
      <c r="AE2211" s="214"/>
      <c r="AF2211" s="93"/>
      <c r="AG2211" s="93"/>
      <c r="AH2211" s="93"/>
      <c r="AI2211" s="93"/>
      <c r="AJ2211" s="93"/>
    </row>
    <row r="2212" spans="30:36" ht="18">
      <c r="AD2212" s="93"/>
      <c r="AE2212" s="214"/>
      <c r="AF2212" s="93"/>
      <c r="AG2212" s="93"/>
      <c r="AH2212" s="93"/>
      <c r="AI2212" s="93"/>
      <c r="AJ2212" s="93"/>
    </row>
    <row r="2213" spans="30:36" ht="18">
      <c r="AD2213" s="93"/>
      <c r="AE2213" s="215"/>
      <c r="AF2213" s="93"/>
      <c r="AG2213" s="93"/>
      <c r="AH2213" s="93"/>
      <c r="AI2213" s="93"/>
      <c r="AJ2213" s="93"/>
    </row>
    <row r="2214" spans="30:36" ht="18">
      <c r="AD2214" s="93"/>
      <c r="AE2214" s="215"/>
      <c r="AF2214" s="93"/>
      <c r="AG2214" s="93"/>
      <c r="AH2214" s="93"/>
      <c r="AI2214" s="93"/>
      <c r="AJ2214" s="93"/>
    </row>
    <row r="2215" spans="30:36" ht="18">
      <c r="AD2215" s="93"/>
      <c r="AE2215" s="214"/>
      <c r="AF2215" s="93"/>
      <c r="AG2215" s="93"/>
      <c r="AH2215" s="93"/>
      <c r="AI2215" s="93"/>
      <c r="AJ2215" s="93"/>
    </row>
    <row r="2216" spans="30:36" ht="18">
      <c r="AD2216" s="93"/>
      <c r="AE2216" s="214"/>
      <c r="AF2216" s="93"/>
      <c r="AG2216" s="93"/>
      <c r="AH2216" s="93"/>
      <c r="AI2216" s="93"/>
      <c r="AJ2216" s="93"/>
    </row>
    <row r="2217" spans="30:36" ht="18">
      <c r="AD2217" s="93"/>
      <c r="AE2217" s="214"/>
      <c r="AF2217" s="93"/>
      <c r="AG2217" s="93"/>
      <c r="AH2217" s="93"/>
      <c r="AI2217" s="93"/>
      <c r="AJ2217" s="93"/>
    </row>
    <row r="2218" spans="30:36" ht="18">
      <c r="AD2218" s="93"/>
      <c r="AE2218" s="214"/>
      <c r="AF2218" s="93"/>
      <c r="AG2218" s="93"/>
      <c r="AH2218" s="93"/>
      <c r="AI2218" s="93"/>
      <c r="AJ2218" s="93"/>
    </row>
    <row r="2219" spans="30:36" ht="18">
      <c r="AD2219" s="93"/>
      <c r="AE2219" s="214"/>
      <c r="AF2219" s="93"/>
      <c r="AG2219" s="93"/>
      <c r="AH2219" s="93"/>
      <c r="AI2219" s="93"/>
      <c r="AJ2219" s="93"/>
    </row>
    <row r="2220" spans="30:36" ht="18">
      <c r="AD2220" s="93"/>
      <c r="AE2220" s="215"/>
      <c r="AF2220" s="93"/>
      <c r="AG2220" s="93"/>
      <c r="AH2220" s="93"/>
      <c r="AI2220" s="93"/>
      <c r="AJ2220" s="93"/>
    </row>
    <row r="2221" spans="30:36" ht="18">
      <c r="AD2221" s="93"/>
      <c r="AE2221" s="215"/>
      <c r="AF2221" s="93"/>
      <c r="AG2221" s="93"/>
      <c r="AH2221" s="93"/>
      <c r="AI2221" s="93"/>
      <c r="AJ2221" s="93"/>
    </row>
    <row r="2222" spans="30:36" ht="18">
      <c r="AD2222" s="93"/>
      <c r="AE2222" s="214"/>
      <c r="AF2222" s="93"/>
      <c r="AG2222" s="93"/>
      <c r="AH2222" s="93"/>
      <c r="AI2222" s="93"/>
      <c r="AJ2222" s="93"/>
    </row>
    <row r="2223" spans="30:36" ht="18">
      <c r="AD2223" s="93"/>
      <c r="AE2223" s="214"/>
      <c r="AF2223" s="93"/>
      <c r="AG2223" s="93"/>
      <c r="AH2223" s="93"/>
      <c r="AI2223" s="93"/>
      <c r="AJ2223" s="93"/>
    </row>
    <row r="2224" spans="30:36" ht="18">
      <c r="AD2224" s="93"/>
      <c r="AE2224" s="214"/>
      <c r="AF2224" s="93"/>
      <c r="AG2224" s="93"/>
      <c r="AH2224" s="93"/>
      <c r="AI2224" s="93"/>
      <c r="AJ2224" s="93"/>
    </row>
    <row r="2225" spans="30:36" ht="18">
      <c r="AD2225" s="93"/>
      <c r="AE2225" s="215"/>
      <c r="AF2225" s="93"/>
      <c r="AG2225" s="93"/>
      <c r="AH2225" s="93"/>
      <c r="AI2225" s="93"/>
      <c r="AJ2225" s="93"/>
    </row>
    <row r="2226" spans="30:36" ht="18">
      <c r="AD2226" s="93"/>
      <c r="AE2226" s="215"/>
      <c r="AF2226" s="93"/>
      <c r="AG2226" s="93"/>
      <c r="AH2226" s="93"/>
      <c r="AI2226" s="93"/>
      <c r="AJ2226" s="93"/>
    </row>
    <row r="2227" spans="30:36" ht="18">
      <c r="AD2227" s="93"/>
      <c r="AE2227" s="214"/>
      <c r="AF2227" s="93"/>
      <c r="AG2227" s="93"/>
      <c r="AH2227" s="93"/>
      <c r="AI2227" s="93"/>
      <c r="AJ2227" s="93"/>
    </row>
    <row r="2228" spans="30:36" ht="18">
      <c r="AD2228" s="93"/>
      <c r="AE2228" s="214"/>
      <c r="AF2228" s="93"/>
      <c r="AG2228" s="93"/>
      <c r="AH2228" s="93"/>
      <c r="AI2228" s="93"/>
      <c r="AJ2228" s="93"/>
    </row>
    <row r="2229" spans="30:36" ht="18">
      <c r="AD2229" s="93"/>
      <c r="AE2229" s="214"/>
      <c r="AF2229" s="93"/>
      <c r="AG2229" s="93"/>
      <c r="AH2229" s="93"/>
      <c r="AI2229" s="93"/>
      <c r="AJ2229" s="93"/>
    </row>
    <row r="2230" spans="30:36" ht="18">
      <c r="AD2230" s="93"/>
      <c r="AE2230" s="214"/>
      <c r="AF2230" s="93"/>
      <c r="AG2230" s="93"/>
      <c r="AH2230" s="93"/>
      <c r="AI2230" s="93"/>
      <c r="AJ2230" s="93"/>
    </row>
    <row r="2231" spans="30:36" ht="18">
      <c r="AD2231" s="93"/>
      <c r="AE2231" s="215"/>
      <c r="AF2231" s="93"/>
      <c r="AG2231" s="93"/>
      <c r="AH2231" s="93"/>
      <c r="AI2231" s="93"/>
      <c r="AJ2231" s="93"/>
    </row>
    <row r="2232" spans="30:36" ht="18">
      <c r="AD2232" s="93"/>
      <c r="AE2232" s="215"/>
      <c r="AF2232" s="93"/>
      <c r="AG2232" s="93"/>
      <c r="AH2232" s="93"/>
      <c r="AI2232" s="93"/>
      <c r="AJ2232" s="93"/>
    </row>
    <row r="2233" spans="30:36" ht="18">
      <c r="AD2233" s="93"/>
      <c r="AE2233" s="214"/>
      <c r="AF2233" s="93"/>
      <c r="AG2233" s="93"/>
      <c r="AH2233" s="93"/>
      <c r="AI2233" s="93"/>
      <c r="AJ2233" s="93"/>
    </row>
    <row r="2234" spans="30:36" ht="18">
      <c r="AD2234" s="93"/>
      <c r="AE2234" s="214"/>
      <c r="AF2234" s="93"/>
      <c r="AG2234" s="93"/>
      <c r="AH2234" s="93"/>
      <c r="AI2234" s="93"/>
      <c r="AJ2234" s="93"/>
    </row>
    <row r="2235" spans="30:36" ht="18">
      <c r="AD2235" s="93"/>
      <c r="AE2235" s="214"/>
      <c r="AF2235" s="93"/>
      <c r="AG2235" s="93"/>
      <c r="AH2235" s="93"/>
      <c r="AI2235" s="93"/>
      <c r="AJ2235" s="93"/>
    </row>
    <row r="2236" spans="30:36" ht="18">
      <c r="AD2236" s="93"/>
      <c r="AE2236" s="214"/>
      <c r="AF2236" s="93"/>
      <c r="AG2236" s="93"/>
      <c r="AH2236" s="93"/>
      <c r="AI2236" s="93"/>
      <c r="AJ2236" s="93"/>
    </row>
    <row r="2237" spans="30:36" ht="18">
      <c r="AD2237" s="93"/>
      <c r="AE2237" s="214"/>
      <c r="AF2237" s="93"/>
      <c r="AG2237" s="93"/>
      <c r="AH2237" s="93"/>
      <c r="AI2237" s="93"/>
      <c r="AJ2237" s="93"/>
    </row>
    <row r="2238" spans="30:36" ht="18">
      <c r="AD2238" s="93"/>
      <c r="AE2238" s="215"/>
      <c r="AF2238" s="93"/>
      <c r="AG2238" s="93"/>
      <c r="AH2238" s="93"/>
      <c r="AI2238" s="93"/>
      <c r="AJ2238" s="93"/>
    </row>
    <row r="2239" spans="30:36" ht="18">
      <c r="AD2239" s="93"/>
      <c r="AE2239" s="215"/>
      <c r="AF2239" s="93"/>
      <c r="AG2239" s="93"/>
      <c r="AH2239" s="93"/>
      <c r="AI2239" s="93"/>
      <c r="AJ2239" s="93"/>
    </row>
    <row r="2240" spans="30:36" ht="18">
      <c r="AD2240" s="93"/>
      <c r="AE2240" s="214"/>
      <c r="AF2240" s="93"/>
      <c r="AG2240" s="93"/>
      <c r="AH2240" s="93"/>
      <c r="AI2240" s="93"/>
      <c r="AJ2240" s="93"/>
    </row>
    <row r="2241" spans="30:36" ht="18">
      <c r="AD2241" s="93"/>
      <c r="AE2241" s="214"/>
      <c r="AF2241" s="93"/>
      <c r="AG2241" s="93"/>
      <c r="AH2241" s="93"/>
      <c r="AI2241" s="93"/>
      <c r="AJ2241" s="93"/>
    </row>
    <row r="2242" spans="30:36" ht="18">
      <c r="AD2242" s="93"/>
      <c r="AE2242" s="214"/>
      <c r="AF2242" s="93"/>
      <c r="AG2242" s="93"/>
      <c r="AH2242" s="93"/>
      <c r="AI2242" s="93"/>
      <c r="AJ2242" s="93"/>
    </row>
    <row r="2243" spans="30:36" ht="18">
      <c r="AD2243" s="93"/>
      <c r="AE2243" s="214"/>
      <c r="AF2243" s="93"/>
      <c r="AG2243" s="93"/>
      <c r="AH2243" s="93"/>
      <c r="AI2243" s="93"/>
      <c r="AJ2243" s="93"/>
    </row>
    <row r="2244" spans="30:36" ht="18">
      <c r="AD2244" s="93"/>
      <c r="AE2244" s="214"/>
      <c r="AF2244" s="93"/>
      <c r="AG2244" s="93"/>
      <c r="AH2244" s="93"/>
      <c r="AI2244" s="93"/>
      <c r="AJ2244" s="93"/>
    </row>
    <row r="2245" spans="30:36" ht="18">
      <c r="AD2245" s="93"/>
      <c r="AE2245" s="214"/>
      <c r="AF2245" s="93"/>
      <c r="AG2245" s="93"/>
      <c r="AH2245" s="93"/>
      <c r="AI2245" s="93"/>
      <c r="AJ2245" s="93"/>
    </row>
    <row r="2246" spans="30:36" ht="18">
      <c r="AD2246" s="93"/>
      <c r="AE2246" s="214"/>
      <c r="AF2246" s="93"/>
      <c r="AG2246" s="93"/>
      <c r="AH2246" s="93"/>
      <c r="AI2246" s="93"/>
      <c r="AJ2246" s="93"/>
    </row>
    <row r="2247" spans="30:36" ht="18">
      <c r="AD2247" s="93"/>
      <c r="AE2247" s="215"/>
      <c r="AF2247" s="93"/>
      <c r="AG2247" s="93"/>
      <c r="AH2247" s="93"/>
      <c r="AI2247" s="93"/>
      <c r="AJ2247" s="93"/>
    </row>
    <row r="2248" spans="30:36" ht="18">
      <c r="AD2248" s="93"/>
      <c r="AE2248" s="215"/>
      <c r="AF2248" s="93"/>
      <c r="AG2248" s="93"/>
      <c r="AH2248" s="93"/>
      <c r="AI2248" s="93"/>
      <c r="AJ2248" s="93"/>
    </row>
    <row r="2249" spans="30:36" ht="18">
      <c r="AD2249" s="93"/>
      <c r="AE2249" s="214"/>
      <c r="AF2249" s="93"/>
      <c r="AG2249" s="93"/>
      <c r="AH2249" s="93"/>
      <c r="AI2249" s="93"/>
      <c r="AJ2249" s="93"/>
    </row>
    <row r="2250" spans="30:36" ht="18">
      <c r="AD2250" s="93"/>
      <c r="AE2250" s="214"/>
      <c r="AF2250" s="93"/>
      <c r="AG2250" s="93"/>
      <c r="AH2250" s="93"/>
      <c r="AI2250" s="93"/>
      <c r="AJ2250" s="93"/>
    </row>
    <row r="2251" spans="30:36" ht="18">
      <c r="AD2251" s="93"/>
      <c r="AE2251" s="214"/>
      <c r="AF2251" s="93"/>
      <c r="AG2251" s="93"/>
      <c r="AH2251" s="93"/>
      <c r="AI2251" s="93"/>
      <c r="AJ2251" s="93"/>
    </row>
    <row r="2252" spans="30:36" ht="18">
      <c r="AD2252" s="93"/>
      <c r="AE2252" s="214"/>
      <c r="AF2252" s="93"/>
      <c r="AG2252" s="93"/>
      <c r="AH2252" s="93"/>
      <c r="AI2252" s="93"/>
      <c r="AJ2252" s="93"/>
    </row>
    <row r="2253" spans="30:36" ht="18">
      <c r="AD2253" s="93"/>
      <c r="AE2253" s="214"/>
      <c r="AF2253" s="93"/>
      <c r="AG2253" s="93"/>
      <c r="AH2253" s="93"/>
      <c r="AI2253" s="93"/>
      <c r="AJ2253" s="93"/>
    </row>
    <row r="2254" spans="30:36" ht="18">
      <c r="AD2254" s="93"/>
      <c r="AE2254" s="214"/>
      <c r="AF2254" s="93"/>
      <c r="AG2254" s="93"/>
      <c r="AH2254" s="93"/>
      <c r="AI2254" s="93"/>
      <c r="AJ2254" s="93"/>
    </row>
    <row r="2255" spans="30:36" ht="18">
      <c r="AD2255" s="93"/>
      <c r="AE2255" s="214"/>
      <c r="AF2255" s="93"/>
      <c r="AG2255" s="93"/>
      <c r="AH2255" s="93"/>
      <c r="AI2255" s="93"/>
      <c r="AJ2255" s="93"/>
    </row>
    <row r="2256" spans="30:36" ht="18">
      <c r="AD2256" s="93"/>
      <c r="AE2256" s="215"/>
      <c r="AF2256" s="93"/>
      <c r="AG2256" s="93"/>
      <c r="AH2256" s="93"/>
      <c r="AI2256" s="93"/>
      <c r="AJ2256" s="93"/>
    </row>
    <row r="2257" spans="30:36" ht="18">
      <c r="AD2257" s="93"/>
      <c r="AE2257" s="215"/>
      <c r="AF2257" s="93"/>
      <c r="AG2257" s="93"/>
      <c r="AH2257" s="93"/>
      <c r="AI2257" s="93"/>
      <c r="AJ2257" s="93"/>
    </row>
    <row r="2258" spans="30:36" ht="18">
      <c r="AD2258" s="93"/>
      <c r="AE2258" s="214"/>
      <c r="AF2258" s="93"/>
      <c r="AG2258" s="93"/>
      <c r="AH2258" s="93"/>
      <c r="AI2258" s="93"/>
      <c r="AJ2258" s="93"/>
    </row>
    <row r="2259" spans="30:36" ht="18">
      <c r="AD2259" s="93"/>
      <c r="AE2259" s="214"/>
      <c r="AF2259" s="93"/>
      <c r="AG2259" s="93"/>
      <c r="AH2259" s="93"/>
      <c r="AI2259" s="93"/>
      <c r="AJ2259" s="93"/>
    </row>
    <row r="2260" spans="30:36" ht="18">
      <c r="AD2260" s="93"/>
      <c r="AE2260" s="214"/>
      <c r="AF2260" s="93"/>
      <c r="AG2260" s="93"/>
      <c r="AH2260" s="93"/>
      <c r="AI2260" s="93"/>
      <c r="AJ2260" s="93"/>
    </row>
    <row r="2261" spans="30:36" ht="18">
      <c r="AD2261" s="93"/>
      <c r="AE2261" s="214"/>
      <c r="AF2261" s="93"/>
      <c r="AG2261" s="93"/>
      <c r="AH2261" s="93"/>
      <c r="AI2261" s="93"/>
      <c r="AJ2261" s="93"/>
    </row>
    <row r="2262" spans="30:36" ht="18">
      <c r="AD2262" s="93"/>
      <c r="AE2262" s="214"/>
      <c r="AF2262" s="93"/>
      <c r="AG2262" s="93"/>
      <c r="AH2262" s="93"/>
      <c r="AI2262" s="93"/>
      <c r="AJ2262" s="93"/>
    </row>
    <row r="2263" spans="30:36" ht="18">
      <c r="AD2263" s="93"/>
      <c r="AE2263" s="215"/>
      <c r="AF2263" s="93"/>
      <c r="AG2263" s="93"/>
      <c r="AH2263" s="93"/>
      <c r="AI2263" s="93"/>
      <c r="AJ2263" s="93"/>
    </row>
    <row r="2264" spans="30:36" ht="18">
      <c r="AD2264" s="93"/>
      <c r="AE2264" s="215"/>
      <c r="AF2264" s="93"/>
      <c r="AG2264" s="93"/>
      <c r="AH2264" s="93"/>
      <c r="AI2264" s="93"/>
      <c r="AJ2264" s="93"/>
    </row>
    <row r="2265" spans="30:36" ht="18">
      <c r="AD2265" s="93"/>
      <c r="AE2265" s="214"/>
      <c r="AF2265" s="93"/>
      <c r="AG2265" s="93"/>
      <c r="AH2265" s="93"/>
      <c r="AI2265" s="93"/>
      <c r="AJ2265" s="93"/>
    </row>
    <row r="2266" spans="30:36" ht="18">
      <c r="AD2266" s="93"/>
      <c r="AE2266" s="214"/>
      <c r="AF2266" s="93"/>
      <c r="AG2266" s="93"/>
      <c r="AH2266" s="93"/>
      <c r="AI2266" s="93"/>
      <c r="AJ2266" s="93"/>
    </row>
    <row r="2267" spans="30:36" ht="18">
      <c r="AD2267" s="93"/>
      <c r="AE2267" s="214"/>
      <c r="AF2267" s="93"/>
      <c r="AG2267" s="93"/>
      <c r="AH2267" s="93"/>
      <c r="AI2267" s="93"/>
      <c r="AJ2267" s="93"/>
    </row>
    <row r="2268" spans="30:36" ht="18">
      <c r="AD2268" s="93"/>
      <c r="AE2268" s="214"/>
      <c r="AF2268" s="93"/>
      <c r="AG2268" s="93"/>
      <c r="AH2268" s="93"/>
      <c r="AI2268" s="93"/>
      <c r="AJ2268" s="93"/>
    </row>
    <row r="2269" spans="30:36" ht="18">
      <c r="AD2269" s="93"/>
      <c r="AE2269" s="214"/>
      <c r="AF2269" s="93"/>
      <c r="AG2269" s="93"/>
      <c r="AH2269" s="93"/>
      <c r="AI2269" s="93"/>
      <c r="AJ2269" s="93"/>
    </row>
    <row r="2270" spans="30:36" ht="18">
      <c r="AD2270" s="93"/>
      <c r="AE2270" s="214"/>
      <c r="AF2270" s="93"/>
      <c r="AG2270" s="93"/>
      <c r="AH2270" s="93"/>
      <c r="AI2270" s="93"/>
      <c r="AJ2270" s="93"/>
    </row>
    <row r="2271" spans="30:36" ht="18">
      <c r="AD2271" s="93"/>
      <c r="AE2271" s="214"/>
      <c r="AF2271" s="93"/>
      <c r="AG2271" s="93"/>
      <c r="AH2271" s="93"/>
      <c r="AI2271" s="93"/>
      <c r="AJ2271" s="93"/>
    </row>
    <row r="2272" spans="30:36" ht="18">
      <c r="AD2272" s="93"/>
      <c r="AE2272" s="215"/>
      <c r="AF2272" s="93"/>
      <c r="AG2272" s="93"/>
      <c r="AH2272" s="93"/>
      <c r="AI2272" s="93"/>
      <c r="AJ2272" s="93"/>
    </row>
    <row r="2273" spans="30:36" ht="18">
      <c r="AD2273" s="93"/>
      <c r="AE2273" s="215"/>
      <c r="AF2273" s="93"/>
      <c r="AG2273" s="93"/>
      <c r="AH2273" s="93"/>
      <c r="AI2273" s="93"/>
      <c r="AJ2273" s="93"/>
    </row>
    <row r="2274" spans="30:36" ht="18">
      <c r="AD2274" s="93"/>
      <c r="AE2274" s="215"/>
      <c r="AF2274" s="93"/>
      <c r="AG2274" s="93"/>
      <c r="AH2274" s="93"/>
      <c r="AI2274" s="93"/>
      <c r="AJ2274" s="93"/>
    </row>
    <row r="2275" spans="30:36" ht="18">
      <c r="AD2275" s="93"/>
      <c r="AE2275" s="214"/>
      <c r="AF2275" s="93"/>
      <c r="AG2275" s="93"/>
      <c r="AH2275" s="93"/>
      <c r="AI2275" s="93"/>
      <c r="AJ2275" s="93"/>
    </row>
    <row r="2276" spans="30:36" ht="18">
      <c r="AD2276" s="93"/>
      <c r="AE2276" s="214"/>
      <c r="AF2276" s="93"/>
      <c r="AG2276" s="93"/>
      <c r="AH2276" s="93"/>
      <c r="AI2276" s="93"/>
      <c r="AJ2276" s="93"/>
    </row>
    <row r="2277" spans="30:36" ht="18">
      <c r="AD2277" s="93"/>
      <c r="AE2277" s="215"/>
      <c r="AF2277" s="93"/>
      <c r="AG2277" s="93"/>
      <c r="AH2277" s="93"/>
      <c r="AI2277" s="93"/>
      <c r="AJ2277" s="93"/>
    </row>
    <row r="2278" spans="30:36" ht="18">
      <c r="AD2278" s="93"/>
      <c r="AE2278" s="214"/>
      <c r="AF2278" s="93"/>
      <c r="AG2278" s="93"/>
      <c r="AH2278" s="93"/>
      <c r="AI2278" s="93"/>
      <c r="AJ2278" s="93"/>
    </row>
    <row r="2279" spans="30:36" ht="18">
      <c r="AD2279" s="93"/>
      <c r="AE2279" s="214"/>
      <c r="AF2279" s="93"/>
      <c r="AG2279" s="93"/>
      <c r="AH2279" s="93"/>
      <c r="AI2279" s="93"/>
      <c r="AJ2279" s="93"/>
    </row>
    <row r="2280" spans="30:36" ht="18">
      <c r="AD2280" s="93"/>
      <c r="AE2280" s="215"/>
      <c r="AF2280" s="93"/>
      <c r="AG2280" s="93"/>
      <c r="AH2280" s="93"/>
      <c r="AI2280" s="93"/>
      <c r="AJ2280" s="93"/>
    </row>
    <row r="2281" spans="30:36" ht="18">
      <c r="AD2281" s="93"/>
      <c r="AE2281" s="214"/>
      <c r="AF2281" s="93"/>
      <c r="AG2281" s="93"/>
      <c r="AH2281" s="93"/>
      <c r="AI2281" s="93"/>
      <c r="AJ2281" s="93"/>
    </row>
    <row r="2282" spans="30:36" ht="18">
      <c r="AD2282" s="93"/>
      <c r="AE2282" s="214"/>
      <c r="AF2282" s="93"/>
      <c r="AG2282" s="93"/>
      <c r="AH2282" s="93"/>
      <c r="AI2282" s="93"/>
      <c r="AJ2282" s="93"/>
    </row>
    <row r="2283" spans="30:36" ht="18">
      <c r="AD2283" s="93"/>
      <c r="AE2283" s="215"/>
      <c r="AF2283" s="93"/>
      <c r="AG2283" s="93"/>
      <c r="AH2283" s="93"/>
      <c r="AI2283" s="93"/>
      <c r="AJ2283" s="93"/>
    </row>
    <row r="2284" spans="30:36" ht="18">
      <c r="AD2284" s="93"/>
      <c r="AE2284" s="214"/>
      <c r="AF2284" s="93"/>
      <c r="AG2284" s="93"/>
      <c r="AH2284" s="93"/>
      <c r="AI2284" s="93"/>
      <c r="AJ2284" s="93"/>
    </row>
    <row r="2285" spans="30:36" ht="18">
      <c r="AD2285" s="93"/>
      <c r="AE2285" s="214"/>
      <c r="AF2285" s="93"/>
      <c r="AG2285" s="93"/>
      <c r="AH2285" s="93"/>
      <c r="AI2285" s="93"/>
      <c r="AJ2285" s="93"/>
    </row>
    <row r="2286" spans="30:36" ht="18">
      <c r="AD2286" s="93"/>
      <c r="AE2286" s="215"/>
      <c r="AF2286" s="93"/>
      <c r="AG2286" s="93"/>
      <c r="AH2286" s="93"/>
      <c r="AI2286" s="93"/>
      <c r="AJ2286" s="93"/>
    </row>
    <row r="2287" spans="30:36" ht="18">
      <c r="AD2287" s="93"/>
      <c r="AE2287" s="214"/>
      <c r="AF2287" s="93"/>
      <c r="AG2287" s="93"/>
      <c r="AH2287" s="93"/>
      <c r="AI2287" s="93"/>
      <c r="AJ2287" s="93"/>
    </row>
    <row r="2288" spans="30:36" ht="18">
      <c r="AD2288" s="93"/>
      <c r="AE2288" s="214"/>
      <c r="AF2288" s="93"/>
      <c r="AG2288" s="93"/>
      <c r="AH2288" s="93"/>
      <c r="AI2288" s="93"/>
      <c r="AJ2288" s="93"/>
    </row>
    <row r="2289" spans="30:36" ht="18">
      <c r="AD2289" s="93"/>
      <c r="AE2289" s="215"/>
      <c r="AF2289" s="93"/>
      <c r="AG2289" s="93"/>
      <c r="AH2289" s="93"/>
      <c r="AI2289" s="93"/>
      <c r="AJ2289" s="93"/>
    </row>
    <row r="2290" spans="30:36" ht="18">
      <c r="AD2290" s="93"/>
      <c r="AE2290" s="215"/>
      <c r="AF2290" s="93"/>
      <c r="AG2290" s="93"/>
      <c r="AH2290" s="93"/>
      <c r="AI2290" s="93"/>
      <c r="AJ2290" s="93"/>
    </row>
    <row r="2291" spans="30:36" ht="18">
      <c r="AD2291" s="93"/>
      <c r="AE2291" s="214"/>
      <c r="AF2291" s="93"/>
      <c r="AG2291" s="93"/>
      <c r="AH2291" s="93"/>
      <c r="AI2291" s="93"/>
      <c r="AJ2291" s="93"/>
    </row>
    <row r="2292" spans="30:36" ht="18">
      <c r="AD2292" s="93"/>
      <c r="AE2292" s="214"/>
      <c r="AF2292" s="93"/>
      <c r="AG2292" s="93"/>
      <c r="AH2292" s="93"/>
      <c r="AI2292" s="93"/>
      <c r="AJ2292" s="93"/>
    </row>
    <row r="2293" spans="30:36" ht="18">
      <c r="AD2293" s="93"/>
      <c r="AE2293" s="215"/>
      <c r="AF2293" s="93"/>
      <c r="AG2293" s="93"/>
      <c r="AH2293" s="93"/>
      <c r="AI2293" s="93"/>
      <c r="AJ2293" s="93"/>
    </row>
    <row r="2294" spans="30:36" ht="18">
      <c r="AD2294" s="93"/>
      <c r="AE2294" s="214"/>
      <c r="AF2294" s="93"/>
      <c r="AG2294" s="93"/>
      <c r="AH2294" s="93"/>
      <c r="AI2294" s="93"/>
      <c r="AJ2294" s="93"/>
    </row>
    <row r="2295" spans="30:36" ht="18">
      <c r="AD2295" s="93"/>
      <c r="AE2295" s="214"/>
      <c r="AF2295" s="93"/>
      <c r="AG2295" s="93"/>
      <c r="AH2295" s="93"/>
      <c r="AI2295" s="93"/>
      <c r="AJ2295" s="93"/>
    </row>
    <row r="2296" spans="30:36" ht="18">
      <c r="AD2296" s="93"/>
      <c r="AE2296" s="215"/>
      <c r="AF2296" s="93"/>
      <c r="AG2296" s="93"/>
      <c r="AH2296" s="93"/>
      <c r="AI2296" s="93"/>
      <c r="AJ2296" s="93"/>
    </row>
    <row r="2297" spans="30:36" ht="18">
      <c r="AD2297" s="93"/>
      <c r="AE2297" s="214"/>
      <c r="AF2297" s="93"/>
      <c r="AG2297" s="93"/>
      <c r="AH2297" s="93"/>
      <c r="AI2297" s="93"/>
      <c r="AJ2297" s="93"/>
    </row>
    <row r="2298" spans="30:36" ht="18">
      <c r="AD2298" s="93"/>
      <c r="AE2298" s="214"/>
      <c r="AF2298" s="93"/>
      <c r="AG2298" s="93"/>
      <c r="AH2298" s="93"/>
      <c r="AI2298" s="93"/>
      <c r="AJ2298" s="93"/>
    </row>
    <row r="2299" spans="30:36" ht="18">
      <c r="AD2299" s="93"/>
      <c r="AE2299" s="215"/>
      <c r="AF2299" s="93"/>
      <c r="AG2299" s="93"/>
      <c r="AH2299" s="93"/>
      <c r="AI2299" s="93"/>
      <c r="AJ2299" s="93"/>
    </row>
    <row r="2300" spans="30:36" ht="18">
      <c r="AD2300" s="93"/>
      <c r="AE2300" s="214"/>
      <c r="AF2300" s="93"/>
      <c r="AG2300" s="93"/>
      <c r="AH2300" s="93"/>
      <c r="AI2300" s="93"/>
      <c r="AJ2300" s="93"/>
    </row>
    <row r="2301" spans="30:36" ht="18">
      <c r="AD2301" s="93"/>
      <c r="AE2301" s="214"/>
      <c r="AF2301" s="93"/>
      <c r="AG2301" s="93"/>
      <c r="AH2301" s="93"/>
      <c r="AI2301" s="93"/>
      <c r="AJ2301" s="93"/>
    </row>
    <row r="2302" spans="30:36" ht="18">
      <c r="AD2302" s="93"/>
      <c r="AE2302" s="215"/>
      <c r="AF2302" s="93"/>
      <c r="AG2302" s="93"/>
      <c r="AH2302" s="93"/>
      <c r="AI2302" s="93"/>
      <c r="AJ2302" s="93"/>
    </row>
    <row r="2303" spans="30:36" ht="18">
      <c r="AD2303" s="93"/>
      <c r="AE2303" s="214"/>
      <c r="AF2303" s="93"/>
      <c r="AG2303" s="93"/>
      <c r="AH2303" s="93"/>
      <c r="AI2303" s="93"/>
      <c r="AJ2303" s="93"/>
    </row>
    <row r="2304" spans="30:36" ht="18">
      <c r="AD2304" s="93"/>
      <c r="AE2304" s="214"/>
      <c r="AF2304" s="93"/>
      <c r="AG2304" s="93"/>
      <c r="AH2304" s="93"/>
      <c r="AI2304" s="93"/>
      <c r="AJ2304" s="93"/>
    </row>
    <row r="2305" spans="30:36" ht="18">
      <c r="AD2305" s="93"/>
      <c r="AE2305" s="214"/>
      <c r="AF2305" s="93"/>
      <c r="AG2305" s="93"/>
      <c r="AH2305" s="93"/>
      <c r="AI2305" s="93"/>
      <c r="AJ2305" s="93"/>
    </row>
    <row r="2306" spans="30:36" ht="18">
      <c r="AD2306" s="93"/>
      <c r="AE2306" s="214"/>
      <c r="AF2306" s="93"/>
      <c r="AG2306" s="93"/>
      <c r="AH2306" s="93"/>
      <c r="AI2306" s="93"/>
      <c r="AJ2306" s="93"/>
    </row>
    <row r="2307" spans="30:36" ht="18">
      <c r="AD2307" s="93"/>
      <c r="AE2307" s="214"/>
      <c r="AF2307" s="93"/>
      <c r="AG2307" s="93"/>
      <c r="AH2307" s="93"/>
      <c r="AI2307" s="93"/>
      <c r="AJ2307" s="93"/>
    </row>
    <row r="2308" spans="30:36" ht="18">
      <c r="AD2308" s="93"/>
      <c r="AE2308" s="215"/>
      <c r="AF2308" s="93"/>
      <c r="AG2308" s="93"/>
      <c r="AH2308" s="93"/>
      <c r="AI2308" s="93"/>
      <c r="AJ2308" s="93"/>
    </row>
    <row r="2309" spans="30:36" ht="18">
      <c r="AD2309" s="93"/>
      <c r="AE2309" s="214"/>
      <c r="AF2309" s="93"/>
      <c r="AG2309" s="93"/>
      <c r="AH2309" s="93"/>
      <c r="AI2309" s="93"/>
      <c r="AJ2309" s="93"/>
    </row>
    <row r="2310" spans="30:36" ht="18">
      <c r="AD2310" s="93"/>
      <c r="AE2310" s="214"/>
      <c r="AF2310" s="93"/>
      <c r="AG2310" s="93"/>
      <c r="AH2310" s="93"/>
      <c r="AI2310" s="93"/>
      <c r="AJ2310" s="93"/>
    </row>
    <row r="2311" spans="30:36" ht="18">
      <c r="AD2311" s="93"/>
      <c r="AE2311" s="215"/>
      <c r="AF2311" s="93"/>
      <c r="AG2311" s="93"/>
      <c r="AH2311" s="93"/>
      <c r="AI2311" s="93"/>
      <c r="AJ2311" s="93"/>
    </row>
    <row r="2312" spans="30:36" ht="18">
      <c r="AD2312" s="93"/>
      <c r="AE2312" s="214"/>
      <c r="AF2312" s="93"/>
      <c r="AG2312" s="93"/>
      <c r="AH2312" s="93"/>
      <c r="AI2312" s="93"/>
      <c r="AJ2312" s="93"/>
    </row>
    <row r="2313" spans="30:36" ht="18">
      <c r="AD2313" s="93"/>
      <c r="AE2313" s="214"/>
      <c r="AF2313" s="93"/>
      <c r="AG2313" s="93"/>
      <c r="AH2313" s="93"/>
      <c r="AI2313" s="93"/>
      <c r="AJ2313" s="93"/>
    </row>
    <row r="2314" spans="30:36" ht="18">
      <c r="AD2314" s="93"/>
      <c r="AE2314" s="215"/>
      <c r="AF2314" s="93"/>
      <c r="AG2314" s="93"/>
      <c r="AH2314" s="93"/>
      <c r="AI2314" s="93"/>
      <c r="AJ2314" s="93"/>
    </row>
    <row r="2315" spans="30:36" ht="18">
      <c r="AD2315" s="93"/>
      <c r="AE2315" s="214"/>
      <c r="AF2315" s="93"/>
      <c r="AG2315" s="93"/>
      <c r="AH2315" s="93"/>
      <c r="AI2315" s="93"/>
      <c r="AJ2315" s="93"/>
    </row>
    <row r="2316" spans="30:36" ht="18">
      <c r="AD2316" s="93"/>
      <c r="AE2316" s="214"/>
      <c r="AF2316" s="93"/>
      <c r="AG2316" s="93"/>
      <c r="AH2316" s="93"/>
      <c r="AI2316" s="93"/>
      <c r="AJ2316" s="93"/>
    </row>
    <row r="2317" spans="30:36" ht="18">
      <c r="AD2317" s="93"/>
      <c r="AE2317" s="215"/>
      <c r="AF2317" s="93"/>
      <c r="AG2317" s="93"/>
      <c r="AH2317" s="93"/>
      <c r="AI2317" s="93"/>
      <c r="AJ2317" s="93"/>
    </row>
    <row r="2318" spans="30:36" ht="18">
      <c r="AD2318" s="93"/>
      <c r="AE2318" s="214"/>
      <c r="AF2318" s="93"/>
      <c r="AG2318" s="93"/>
      <c r="AH2318" s="93"/>
      <c r="AI2318" s="93"/>
      <c r="AJ2318" s="93"/>
    </row>
    <row r="2319" spans="30:36" ht="18">
      <c r="AD2319" s="93"/>
      <c r="AE2319" s="214"/>
      <c r="AF2319" s="93"/>
      <c r="AG2319" s="93"/>
      <c r="AH2319" s="93"/>
      <c r="AI2319" s="93"/>
      <c r="AJ2319" s="93"/>
    </row>
    <row r="2320" spans="30:36" ht="18">
      <c r="AD2320" s="93"/>
      <c r="AE2320" s="215"/>
      <c r="AF2320" s="93"/>
      <c r="AG2320" s="93"/>
      <c r="AH2320" s="93"/>
      <c r="AI2320" s="93"/>
      <c r="AJ2320" s="93"/>
    </row>
    <row r="2321" spans="30:36" ht="18">
      <c r="AD2321" s="93"/>
      <c r="AE2321" s="214"/>
      <c r="AF2321" s="93"/>
      <c r="AG2321" s="93"/>
      <c r="AH2321" s="93"/>
      <c r="AI2321" s="93"/>
      <c r="AJ2321" s="93"/>
    </row>
    <row r="2322" spans="30:36" ht="18">
      <c r="AD2322" s="93"/>
      <c r="AE2322" s="214"/>
      <c r="AF2322" s="93"/>
      <c r="AG2322" s="93"/>
      <c r="AH2322" s="93"/>
      <c r="AI2322" s="93"/>
      <c r="AJ2322" s="93"/>
    </row>
    <row r="2323" spans="30:36" ht="18">
      <c r="AD2323" s="93"/>
      <c r="AE2323" s="215"/>
      <c r="AF2323" s="93"/>
      <c r="AG2323" s="93"/>
      <c r="AH2323" s="93"/>
      <c r="AI2323" s="93"/>
      <c r="AJ2323" s="93"/>
    </row>
    <row r="2324" spans="30:36" ht="18">
      <c r="AD2324" s="93"/>
      <c r="AE2324" s="214"/>
      <c r="AF2324" s="93"/>
      <c r="AG2324" s="93"/>
      <c r="AH2324" s="93"/>
      <c r="AI2324" s="93"/>
      <c r="AJ2324" s="93"/>
    </row>
    <row r="2325" spans="30:36" ht="18">
      <c r="AD2325" s="93"/>
      <c r="AE2325" s="214"/>
      <c r="AF2325" s="93"/>
      <c r="AG2325" s="93"/>
      <c r="AH2325" s="93"/>
      <c r="AI2325" s="93"/>
      <c r="AJ2325" s="93"/>
    </row>
    <row r="2326" spans="30:36" ht="18">
      <c r="AD2326" s="93"/>
      <c r="AE2326" s="214"/>
      <c r="AF2326" s="93"/>
      <c r="AG2326" s="93"/>
      <c r="AH2326" s="93"/>
      <c r="AI2326" s="93"/>
      <c r="AJ2326" s="93"/>
    </row>
    <row r="2327" spans="30:36" ht="18">
      <c r="AD2327" s="93"/>
      <c r="AE2327" s="214"/>
      <c r="AF2327" s="93"/>
      <c r="AG2327" s="93"/>
      <c r="AH2327" s="93"/>
      <c r="AI2327" s="93"/>
      <c r="AJ2327" s="93"/>
    </row>
    <row r="2328" spans="30:36" ht="18">
      <c r="AD2328" s="93"/>
      <c r="AE2328" s="214"/>
      <c r="AF2328" s="93"/>
      <c r="AG2328" s="93"/>
      <c r="AH2328" s="93"/>
      <c r="AI2328" s="93"/>
      <c r="AJ2328" s="93"/>
    </row>
    <row r="2329" spans="30:36" ht="18">
      <c r="AD2329" s="93"/>
      <c r="AE2329" s="214"/>
      <c r="AF2329" s="93"/>
      <c r="AG2329" s="93"/>
      <c r="AH2329" s="93"/>
      <c r="AI2329" s="93"/>
      <c r="AJ2329" s="93"/>
    </row>
    <row r="2330" spans="30:36" ht="18">
      <c r="AD2330" s="93"/>
      <c r="AE2330" s="214"/>
      <c r="AF2330" s="93"/>
      <c r="AG2330" s="93"/>
      <c r="AH2330" s="93"/>
      <c r="AI2330" s="93"/>
      <c r="AJ2330" s="93"/>
    </row>
    <row r="2331" spans="30:36" ht="18">
      <c r="AD2331" s="93"/>
      <c r="AE2331" s="214"/>
      <c r="AF2331" s="93"/>
      <c r="AG2331" s="93"/>
      <c r="AH2331" s="93"/>
      <c r="AI2331" s="93"/>
      <c r="AJ2331" s="93"/>
    </row>
    <row r="2332" spans="30:36" ht="18">
      <c r="AD2332" s="93"/>
      <c r="AE2332" s="215"/>
      <c r="AF2332" s="93"/>
      <c r="AG2332" s="93"/>
      <c r="AH2332" s="93"/>
      <c r="AI2332" s="93"/>
      <c r="AJ2332" s="93"/>
    </row>
    <row r="2333" spans="30:36" ht="18">
      <c r="AD2333" s="93"/>
      <c r="AE2333" s="214"/>
      <c r="AF2333" s="93"/>
      <c r="AG2333" s="93"/>
      <c r="AH2333" s="93"/>
      <c r="AI2333" s="93"/>
      <c r="AJ2333" s="93"/>
    </row>
    <row r="2334" spans="30:36" ht="18">
      <c r="AD2334" s="93"/>
      <c r="AE2334" s="214"/>
      <c r="AF2334" s="93"/>
      <c r="AG2334" s="93"/>
      <c r="AH2334" s="93"/>
      <c r="AI2334" s="93"/>
      <c r="AJ2334" s="93"/>
    </row>
    <row r="2335" spans="30:36" ht="18">
      <c r="AD2335" s="93"/>
      <c r="AE2335" s="214"/>
      <c r="AF2335" s="93"/>
      <c r="AG2335" s="93"/>
      <c r="AH2335" s="93"/>
      <c r="AI2335" s="93"/>
      <c r="AJ2335" s="93"/>
    </row>
    <row r="2336" spans="30:36" ht="18">
      <c r="AD2336" s="93"/>
      <c r="AE2336" s="214"/>
      <c r="AF2336" s="93"/>
      <c r="AG2336" s="93"/>
      <c r="AH2336" s="93"/>
      <c r="AI2336" s="93"/>
      <c r="AJ2336" s="93"/>
    </row>
    <row r="2337" spans="30:36" ht="18">
      <c r="AD2337" s="93"/>
      <c r="AE2337" s="215"/>
      <c r="AF2337" s="93"/>
      <c r="AG2337" s="93"/>
      <c r="AH2337" s="93"/>
      <c r="AI2337" s="93"/>
      <c r="AJ2337" s="93"/>
    </row>
    <row r="2338" spans="30:36" ht="18">
      <c r="AD2338" s="93"/>
      <c r="AE2338" s="215"/>
      <c r="AF2338" s="93"/>
      <c r="AG2338" s="93"/>
      <c r="AH2338" s="93"/>
      <c r="AI2338" s="93"/>
      <c r="AJ2338" s="93"/>
    </row>
    <row r="2339" spans="30:36" ht="18">
      <c r="AD2339" s="93"/>
      <c r="AE2339" s="214"/>
      <c r="AF2339" s="93"/>
      <c r="AG2339" s="93"/>
      <c r="AH2339" s="93"/>
      <c r="AI2339" s="93"/>
      <c r="AJ2339" s="93"/>
    </row>
    <row r="2340" spans="30:36" ht="18">
      <c r="AD2340" s="93"/>
      <c r="AE2340" s="214"/>
      <c r="AF2340" s="93"/>
      <c r="AG2340" s="93"/>
      <c r="AH2340" s="93"/>
      <c r="AI2340" s="93"/>
      <c r="AJ2340" s="93"/>
    </row>
    <row r="2341" spans="30:36" ht="18">
      <c r="AD2341" s="93"/>
      <c r="AE2341" s="214"/>
      <c r="AF2341" s="93"/>
      <c r="AG2341" s="93"/>
      <c r="AH2341" s="93"/>
      <c r="AI2341" s="93"/>
      <c r="AJ2341" s="93"/>
    </row>
    <row r="2342" spans="30:36" ht="18">
      <c r="AD2342" s="93"/>
      <c r="AE2342" s="214"/>
      <c r="AF2342" s="93"/>
      <c r="AG2342" s="93"/>
      <c r="AH2342" s="93"/>
      <c r="AI2342" s="93"/>
      <c r="AJ2342" s="93"/>
    </row>
    <row r="2343" spans="30:36" ht="18">
      <c r="AD2343" s="93"/>
      <c r="AE2343" s="214"/>
      <c r="AF2343" s="93"/>
      <c r="AG2343" s="93"/>
      <c r="AH2343" s="93"/>
      <c r="AI2343" s="93"/>
      <c r="AJ2343" s="93"/>
    </row>
    <row r="2344" spans="30:36" ht="18">
      <c r="AD2344" s="93"/>
      <c r="AE2344" s="214"/>
      <c r="AF2344" s="93"/>
      <c r="AG2344" s="93"/>
      <c r="AH2344" s="93"/>
      <c r="AI2344" s="93"/>
      <c r="AJ2344" s="93"/>
    </row>
    <row r="2345" spans="30:36" ht="18">
      <c r="AD2345" s="93"/>
      <c r="AE2345" s="214"/>
      <c r="AF2345" s="93"/>
      <c r="AG2345" s="93"/>
      <c r="AH2345" s="93"/>
      <c r="AI2345" s="93"/>
      <c r="AJ2345" s="93"/>
    </row>
    <row r="2346" spans="30:36" ht="18">
      <c r="AD2346" s="93"/>
      <c r="AE2346" s="214"/>
      <c r="AF2346" s="93"/>
      <c r="AG2346" s="93"/>
      <c r="AH2346" s="93"/>
      <c r="AI2346" s="93"/>
      <c r="AJ2346" s="93"/>
    </row>
    <row r="2347" spans="30:36" ht="18">
      <c r="AD2347" s="93"/>
      <c r="AE2347" s="215"/>
      <c r="AF2347" s="93"/>
      <c r="AG2347" s="93"/>
      <c r="AH2347" s="93"/>
      <c r="AI2347" s="93"/>
      <c r="AJ2347" s="93"/>
    </row>
    <row r="2348" spans="30:36" ht="18">
      <c r="AD2348" s="93"/>
      <c r="AE2348" s="215"/>
      <c r="AF2348" s="93"/>
      <c r="AG2348" s="93"/>
      <c r="AH2348" s="93"/>
      <c r="AI2348" s="93"/>
      <c r="AJ2348" s="93"/>
    </row>
    <row r="2349" spans="30:36" ht="18">
      <c r="AD2349" s="93"/>
      <c r="AE2349" s="214"/>
      <c r="AF2349" s="93"/>
      <c r="AG2349" s="93"/>
      <c r="AH2349" s="93"/>
      <c r="AI2349" s="93"/>
      <c r="AJ2349" s="93"/>
    </row>
    <row r="2350" spans="30:36" ht="18">
      <c r="AD2350" s="93"/>
      <c r="AE2350" s="214"/>
      <c r="AF2350" s="93"/>
      <c r="AG2350" s="93"/>
      <c r="AH2350" s="93"/>
      <c r="AI2350" s="93"/>
      <c r="AJ2350" s="93"/>
    </row>
    <row r="2351" spans="30:36" ht="18">
      <c r="AD2351" s="93"/>
      <c r="AE2351" s="214"/>
      <c r="AF2351" s="93"/>
      <c r="AG2351" s="93"/>
      <c r="AH2351" s="93"/>
      <c r="AI2351" s="93"/>
      <c r="AJ2351" s="93"/>
    </row>
    <row r="2352" spans="30:36" ht="18">
      <c r="AD2352" s="93"/>
      <c r="AE2352" s="214"/>
      <c r="AF2352" s="93"/>
      <c r="AG2352" s="93"/>
      <c r="AH2352" s="93"/>
      <c r="AI2352" s="93"/>
      <c r="AJ2352" s="93"/>
    </row>
    <row r="2353" spans="30:36" ht="18">
      <c r="AD2353" s="93"/>
      <c r="AE2353" s="214"/>
      <c r="AF2353" s="93"/>
      <c r="AG2353" s="93"/>
      <c r="AH2353" s="93"/>
      <c r="AI2353" s="93"/>
      <c r="AJ2353" s="93"/>
    </row>
    <row r="2354" spans="30:36" ht="18">
      <c r="AD2354" s="93"/>
      <c r="AE2354" s="214"/>
      <c r="AF2354" s="93"/>
      <c r="AG2354" s="93"/>
      <c r="AH2354" s="93"/>
      <c r="AI2354" s="93"/>
      <c r="AJ2354" s="93"/>
    </row>
    <row r="2355" spans="30:36" ht="18">
      <c r="AD2355" s="93"/>
      <c r="AE2355" s="215"/>
      <c r="AF2355" s="93"/>
      <c r="AG2355" s="93"/>
      <c r="AH2355" s="93"/>
      <c r="AI2355" s="93"/>
      <c r="AJ2355" s="93"/>
    </row>
    <row r="2356" spans="30:36" ht="18">
      <c r="AD2356" s="93"/>
      <c r="AE2356" s="214"/>
      <c r="AF2356" s="93"/>
      <c r="AG2356" s="93"/>
      <c r="AH2356" s="93"/>
      <c r="AI2356" s="93"/>
      <c r="AJ2356" s="93"/>
    </row>
    <row r="2357" spans="30:36" ht="18">
      <c r="AD2357" s="93"/>
      <c r="AE2357" s="214"/>
      <c r="AF2357" s="93"/>
      <c r="AG2357" s="93"/>
      <c r="AH2357" s="93"/>
      <c r="AI2357" s="93"/>
      <c r="AJ2357" s="93"/>
    </row>
    <row r="2358" spans="30:36" ht="18">
      <c r="AD2358" s="93"/>
      <c r="AE2358" s="214"/>
      <c r="AF2358" s="93"/>
      <c r="AG2358" s="93"/>
      <c r="AH2358" s="93"/>
      <c r="AI2358" s="93"/>
      <c r="AJ2358" s="93"/>
    </row>
    <row r="2359" spans="30:36" ht="18">
      <c r="AD2359" s="93"/>
      <c r="AE2359" s="214"/>
      <c r="AF2359" s="93"/>
      <c r="AG2359" s="93"/>
      <c r="AH2359" s="93"/>
      <c r="AI2359" s="93"/>
      <c r="AJ2359" s="93"/>
    </row>
    <row r="2360" spans="30:36" ht="18">
      <c r="AD2360" s="93"/>
      <c r="AE2360" s="214"/>
      <c r="AF2360" s="93"/>
      <c r="AG2360" s="93"/>
      <c r="AH2360" s="93"/>
      <c r="AI2360" s="93"/>
      <c r="AJ2360" s="93"/>
    </row>
    <row r="2361" spans="30:36" ht="18">
      <c r="AD2361" s="93"/>
      <c r="AE2361" s="214"/>
      <c r="AF2361" s="93"/>
      <c r="AG2361" s="93"/>
      <c r="AH2361" s="93"/>
      <c r="AI2361" s="93"/>
      <c r="AJ2361" s="93"/>
    </row>
    <row r="2362" spans="30:36" ht="18">
      <c r="AD2362" s="93"/>
      <c r="AE2362" s="215"/>
      <c r="AF2362" s="93"/>
      <c r="AG2362" s="93"/>
      <c r="AH2362" s="93"/>
      <c r="AI2362" s="93"/>
      <c r="AJ2362" s="93"/>
    </row>
    <row r="2363" spans="30:36" ht="18">
      <c r="AD2363" s="93"/>
      <c r="AE2363" s="215"/>
      <c r="AF2363" s="93"/>
      <c r="AG2363" s="93"/>
      <c r="AH2363" s="93"/>
      <c r="AI2363" s="93"/>
      <c r="AJ2363" s="93"/>
    </row>
    <row r="2364" spans="30:36" ht="18">
      <c r="AD2364" s="93"/>
      <c r="AE2364" s="214"/>
      <c r="AF2364" s="93"/>
      <c r="AG2364" s="93"/>
      <c r="AH2364" s="93"/>
      <c r="AI2364" s="93"/>
      <c r="AJ2364" s="93"/>
    </row>
    <row r="2365" spans="30:36" ht="18">
      <c r="AD2365" s="93"/>
      <c r="AE2365" s="214"/>
      <c r="AF2365" s="93"/>
      <c r="AG2365" s="93"/>
      <c r="AH2365" s="93"/>
      <c r="AI2365" s="93"/>
      <c r="AJ2365" s="93"/>
    </row>
    <row r="2366" spans="30:36" ht="18">
      <c r="AD2366" s="93"/>
      <c r="AE2366" s="214"/>
      <c r="AF2366" s="93"/>
      <c r="AG2366" s="93"/>
      <c r="AH2366" s="93"/>
      <c r="AI2366" s="93"/>
      <c r="AJ2366" s="93"/>
    </row>
    <row r="2367" spans="30:36" ht="18">
      <c r="AD2367" s="93"/>
      <c r="AE2367" s="214"/>
      <c r="AF2367" s="93"/>
      <c r="AG2367" s="93"/>
      <c r="AH2367" s="93"/>
      <c r="AI2367" s="93"/>
      <c r="AJ2367" s="93"/>
    </row>
    <row r="2368" spans="30:36" ht="18">
      <c r="AD2368" s="93"/>
      <c r="AE2368" s="215"/>
      <c r="AF2368" s="93"/>
      <c r="AG2368" s="93"/>
      <c r="AH2368" s="93"/>
      <c r="AI2368" s="93"/>
      <c r="AJ2368" s="93"/>
    </row>
    <row r="2369" spans="30:36" ht="18">
      <c r="AD2369" s="93"/>
      <c r="AE2369" s="215"/>
      <c r="AF2369" s="93"/>
      <c r="AG2369" s="93"/>
      <c r="AH2369" s="93"/>
      <c r="AI2369" s="93"/>
      <c r="AJ2369" s="93"/>
    </row>
    <row r="2370" spans="30:36" ht="18">
      <c r="AD2370" s="93"/>
      <c r="AE2370" s="214"/>
      <c r="AF2370" s="93"/>
      <c r="AG2370" s="93"/>
      <c r="AH2370" s="93"/>
      <c r="AI2370" s="93"/>
      <c r="AJ2370" s="93"/>
    </row>
    <row r="2371" spans="30:36" ht="18">
      <c r="AD2371" s="93"/>
      <c r="AE2371" s="214"/>
      <c r="AF2371" s="93"/>
      <c r="AG2371" s="93"/>
      <c r="AH2371" s="93"/>
      <c r="AI2371" s="93"/>
      <c r="AJ2371" s="93"/>
    </row>
    <row r="2372" spans="30:36" ht="18">
      <c r="AD2372" s="93"/>
      <c r="AE2372" s="214"/>
      <c r="AF2372" s="93"/>
      <c r="AG2372" s="93"/>
      <c r="AH2372" s="93"/>
      <c r="AI2372" s="93"/>
      <c r="AJ2372" s="93"/>
    </row>
    <row r="2373" spans="30:36" ht="18">
      <c r="AD2373" s="93"/>
      <c r="AE2373" s="214"/>
      <c r="AF2373" s="93"/>
      <c r="AG2373" s="93"/>
      <c r="AH2373" s="93"/>
      <c r="AI2373" s="93"/>
      <c r="AJ2373" s="93"/>
    </row>
    <row r="2374" spans="30:36" ht="18">
      <c r="AD2374" s="93"/>
      <c r="AE2374" s="214"/>
      <c r="AF2374" s="93"/>
      <c r="AG2374" s="93"/>
      <c r="AH2374" s="93"/>
      <c r="AI2374" s="93"/>
      <c r="AJ2374" s="93"/>
    </row>
    <row r="2375" spans="30:36" ht="18">
      <c r="AD2375" s="93"/>
      <c r="AE2375" s="214"/>
      <c r="AF2375" s="93"/>
      <c r="AG2375" s="93"/>
      <c r="AH2375" s="93"/>
      <c r="AI2375" s="93"/>
      <c r="AJ2375" s="93"/>
    </row>
    <row r="2376" spans="30:36" ht="18">
      <c r="AD2376" s="93"/>
      <c r="AE2376" s="214"/>
      <c r="AF2376" s="93"/>
      <c r="AG2376" s="93"/>
      <c r="AH2376" s="93"/>
      <c r="AI2376" s="93"/>
      <c r="AJ2376" s="93"/>
    </row>
    <row r="2377" spans="30:36" ht="18">
      <c r="AD2377" s="93"/>
      <c r="AE2377" s="214"/>
      <c r="AF2377" s="93"/>
      <c r="AG2377" s="93"/>
      <c r="AH2377" s="93"/>
      <c r="AI2377" s="93"/>
      <c r="AJ2377" s="93"/>
    </row>
    <row r="2378" spans="30:36" ht="18">
      <c r="AD2378" s="93"/>
      <c r="AE2378" s="214"/>
      <c r="AF2378" s="93"/>
      <c r="AG2378" s="93"/>
      <c r="AH2378" s="93"/>
      <c r="AI2378" s="93"/>
      <c r="AJ2378" s="93"/>
    </row>
    <row r="2379" spans="30:36" ht="18">
      <c r="AD2379" s="93"/>
      <c r="AE2379" s="214"/>
      <c r="AF2379" s="93"/>
      <c r="AG2379" s="93"/>
      <c r="AH2379" s="93"/>
      <c r="AI2379" s="93"/>
      <c r="AJ2379" s="93"/>
    </row>
    <row r="2380" spans="30:36" ht="18">
      <c r="AD2380" s="93"/>
      <c r="AE2380" s="215"/>
      <c r="AF2380" s="93"/>
      <c r="AG2380" s="93"/>
      <c r="AH2380" s="93"/>
      <c r="AI2380" s="93"/>
      <c r="AJ2380" s="93"/>
    </row>
    <row r="2381" spans="30:36" ht="18">
      <c r="AD2381" s="93"/>
      <c r="AE2381" s="215"/>
      <c r="AF2381" s="93"/>
      <c r="AG2381" s="93"/>
      <c r="AH2381" s="93"/>
      <c r="AI2381" s="93"/>
      <c r="AJ2381" s="93"/>
    </row>
    <row r="2382" spans="30:36" ht="18">
      <c r="AD2382" s="93"/>
      <c r="AE2382" s="214"/>
      <c r="AF2382" s="93"/>
      <c r="AG2382" s="93"/>
      <c r="AH2382" s="93"/>
      <c r="AI2382" s="93"/>
      <c r="AJ2382" s="93"/>
    </row>
    <row r="2383" spans="30:36" ht="18">
      <c r="AD2383" s="93"/>
      <c r="AE2383" s="214"/>
      <c r="AF2383" s="93"/>
      <c r="AG2383" s="93"/>
      <c r="AH2383" s="93"/>
      <c r="AI2383" s="93"/>
      <c r="AJ2383" s="93"/>
    </row>
    <row r="2384" spans="30:36" ht="18">
      <c r="AD2384" s="93"/>
      <c r="AE2384" s="214"/>
      <c r="AF2384" s="93"/>
      <c r="AG2384" s="93"/>
      <c r="AH2384" s="93"/>
      <c r="AI2384" s="93"/>
      <c r="AJ2384" s="93"/>
    </row>
    <row r="2385" spans="30:36" ht="18">
      <c r="AD2385" s="93"/>
      <c r="AE2385" s="215"/>
      <c r="AF2385" s="93"/>
      <c r="AG2385" s="93"/>
      <c r="AH2385" s="93"/>
      <c r="AI2385" s="93"/>
      <c r="AJ2385" s="93"/>
    </row>
    <row r="2386" spans="30:36" ht="18">
      <c r="AD2386" s="93"/>
      <c r="AE2386" s="215"/>
      <c r="AF2386" s="93"/>
      <c r="AG2386" s="93"/>
      <c r="AH2386" s="93"/>
      <c r="AI2386" s="93"/>
      <c r="AJ2386" s="93"/>
    </row>
    <row r="2387" spans="30:36" ht="18">
      <c r="AD2387" s="93"/>
      <c r="AE2387" s="214"/>
      <c r="AF2387" s="93"/>
      <c r="AG2387" s="93"/>
      <c r="AH2387" s="93"/>
      <c r="AI2387" s="93"/>
      <c r="AJ2387" s="93"/>
    </row>
    <row r="2388" spans="30:36" ht="18">
      <c r="AD2388" s="93"/>
      <c r="AE2388" s="214"/>
      <c r="AF2388" s="93"/>
      <c r="AG2388" s="93"/>
      <c r="AH2388" s="93"/>
      <c r="AI2388" s="93"/>
      <c r="AJ2388" s="93"/>
    </row>
    <row r="2389" spans="30:36" ht="18">
      <c r="AD2389" s="93"/>
      <c r="AE2389" s="214"/>
      <c r="AF2389" s="93"/>
      <c r="AG2389" s="93"/>
      <c r="AH2389" s="93"/>
      <c r="AI2389" s="93"/>
      <c r="AJ2389" s="93"/>
    </row>
    <row r="2390" spans="30:36" ht="18">
      <c r="AD2390" s="93"/>
      <c r="AE2390" s="214"/>
      <c r="AF2390" s="93"/>
      <c r="AG2390" s="93"/>
      <c r="AH2390" s="93"/>
      <c r="AI2390" s="93"/>
      <c r="AJ2390" s="93"/>
    </row>
    <row r="2391" spans="30:36" ht="18">
      <c r="AD2391" s="93"/>
      <c r="AE2391" s="214"/>
      <c r="AF2391" s="93"/>
      <c r="AG2391" s="93"/>
      <c r="AH2391" s="93"/>
      <c r="AI2391" s="93"/>
      <c r="AJ2391" s="93"/>
    </row>
    <row r="2392" spans="30:36" ht="18">
      <c r="AD2392" s="93"/>
      <c r="AE2392" s="214"/>
      <c r="AF2392" s="93"/>
      <c r="AG2392" s="93"/>
      <c r="AH2392" s="93"/>
      <c r="AI2392" s="93"/>
      <c r="AJ2392" s="93"/>
    </row>
    <row r="2393" spans="30:36" ht="18">
      <c r="AD2393" s="93"/>
      <c r="AE2393" s="214"/>
      <c r="AF2393" s="93"/>
      <c r="AG2393" s="93"/>
      <c r="AH2393" s="93"/>
      <c r="AI2393" s="93"/>
      <c r="AJ2393" s="93"/>
    </row>
    <row r="2394" spans="30:36" ht="18">
      <c r="AD2394" s="93"/>
      <c r="AE2394" s="214"/>
      <c r="AF2394" s="93"/>
      <c r="AG2394" s="93"/>
      <c r="AH2394" s="93"/>
      <c r="AI2394" s="93"/>
      <c r="AJ2394" s="93"/>
    </row>
    <row r="2395" spans="30:36" ht="18">
      <c r="AD2395" s="93"/>
      <c r="AE2395" s="214"/>
      <c r="AF2395" s="93"/>
      <c r="AG2395" s="93"/>
      <c r="AH2395" s="93"/>
      <c r="AI2395" s="93"/>
      <c r="AJ2395" s="93"/>
    </row>
    <row r="2396" spans="30:36" ht="18">
      <c r="AD2396" s="93"/>
      <c r="AE2396" s="214"/>
      <c r="AF2396" s="93"/>
      <c r="AG2396" s="93"/>
      <c r="AH2396" s="93"/>
      <c r="AI2396" s="93"/>
      <c r="AJ2396" s="93"/>
    </row>
    <row r="2397" spans="30:36" ht="18">
      <c r="AD2397" s="93"/>
      <c r="AE2397" s="214"/>
      <c r="AF2397" s="93"/>
      <c r="AG2397" s="93"/>
      <c r="AH2397" s="93"/>
      <c r="AI2397" s="93"/>
      <c r="AJ2397" s="93"/>
    </row>
    <row r="2398" spans="30:36" ht="18">
      <c r="AD2398" s="93"/>
      <c r="AE2398" s="214"/>
      <c r="AF2398" s="93"/>
      <c r="AG2398" s="93"/>
      <c r="AH2398" s="93"/>
      <c r="AI2398" s="93"/>
      <c r="AJ2398" s="93"/>
    </row>
    <row r="2399" spans="30:36" ht="18">
      <c r="AD2399" s="93"/>
      <c r="AE2399" s="214"/>
      <c r="AF2399" s="93"/>
      <c r="AG2399" s="93"/>
      <c r="AH2399" s="93"/>
      <c r="AI2399" s="93"/>
      <c r="AJ2399" s="93"/>
    </row>
    <row r="2400" spans="30:36" ht="18">
      <c r="AD2400" s="93"/>
      <c r="AE2400" s="214"/>
      <c r="AF2400" s="93"/>
      <c r="AG2400" s="93"/>
      <c r="AH2400" s="93"/>
      <c r="AI2400" s="93"/>
      <c r="AJ2400" s="93"/>
    </row>
    <row r="2401" spans="30:36" ht="18">
      <c r="AD2401" s="93"/>
      <c r="AE2401" s="214"/>
      <c r="AF2401" s="93"/>
      <c r="AG2401" s="93"/>
      <c r="AH2401" s="93"/>
      <c r="AI2401" s="93"/>
      <c r="AJ2401" s="93"/>
    </row>
    <row r="2402" spans="30:36" ht="18">
      <c r="AD2402" s="93"/>
      <c r="AE2402" s="214"/>
      <c r="AF2402" s="93"/>
      <c r="AG2402" s="93"/>
      <c r="AH2402" s="93"/>
      <c r="AI2402" s="93"/>
      <c r="AJ2402" s="93"/>
    </row>
    <row r="2403" spans="30:36" ht="18">
      <c r="AD2403" s="93"/>
      <c r="AE2403" s="214"/>
      <c r="AF2403" s="93"/>
      <c r="AG2403" s="93"/>
      <c r="AH2403" s="93"/>
      <c r="AI2403" s="93"/>
      <c r="AJ2403" s="93"/>
    </row>
    <row r="2404" spans="30:36" ht="18">
      <c r="AD2404" s="93"/>
      <c r="AE2404" s="214"/>
      <c r="AF2404" s="93"/>
      <c r="AG2404" s="93"/>
      <c r="AH2404" s="93"/>
      <c r="AI2404" s="93"/>
      <c r="AJ2404" s="93"/>
    </row>
    <row r="2405" spans="30:36" ht="18">
      <c r="AD2405" s="93"/>
      <c r="AE2405" s="214"/>
      <c r="AF2405" s="93"/>
      <c r="AG2405" s="93"/>
      <c r="AH2405" s="93"/>
      <c r="AI2405" s="93"/>
      <c r="AJ2405" s="93"/>
    </row>
    <row r="2406" spans="30:36" ht="18">
      <c r="AD2406" s="93"/>
      <c r="AE2406" s="214"/>
      <c r="AF2406" s="93"/>
      <c r="AG2406" s="93"/>
      <c r="AH2406" s="93"/>
      <c r="AI2406" s="93"/>
      <c r="AJ2406" s="93"/>
    </row>
    <row r="2407" spans="30:36" ht="18">
      <c r="AD2407" s="93"/>
      <c r="AE2407" s="214"/>
      <c r="AF2407" s="93"/>
      <c r="AG2407" s="93"/>
      <c r="AH2407" s="93"/>
      <c r="AI2407" s="93"/>
      <c r="AJ2407" s="93"/>
    </row>
    <row r="2408" spans="30:36" ht="18">
      <c r="AD2408" s="93"/>
      <c r="AE2408" s="214"/>
      <c r="AF2408" s="93"/>
      <c r="AG2408" s="93"/>
      <c r="AH2408" s="93"/>
      <c r="AI2408" s="93"/>
      <c r="AJ2408" s="93"/>
    </row>
    <row r="2409" spans="30:36" ht="18">
      <c r="AD2409" s="93"/>
      <c r="AE2409" s="214"/>
      <c r="AF2409" s="93"/>
      <c r="AG2409" s="93"/>
      <c r="AH2409" s="93"/>
      <c r="AI2409" s="93"/>
      <c r="AJ2409" s="93"/>
    </row>
    <row r="2410" spans="30:36" ht="18">
      <c r="AD2410" s="93"/>
      <c r="AE2410" s="214"/>
      <c r="AF2410" s="93"/>
      <c r="AG2410" s="93"/>
      <c r="AH2410" s="93"/>
      <c r="AI2410" s="93"/>
      <c r="AJ2410" s="93"/>
    </row>
    <row r="2411" spans="30:36" ht="18">
      <c r="AD2411" s="93"/>
      <c r="AE2411" s="214"/>
      <c r="AF2411" s="93"/>
      <c r="AG2411" s="93"/>
      <c r="AH2411" s="93"/>
      <c r="AI2411" s="93"/>
      <c r="AJ2411" s="93"/>
    </row>
    <row r="2412" spans="30:36" ht="18">
      <c r="AD2412" s="93"/>
      <c r="AE2412" s="214"/>
      <c r="AF2412" s="93"/>
      <c r="AG2412" s="93"/>
      <c r="AH2412" s="93"/>
      <c r="AI2412" s="93"/>
      <c r="AJ2412" s="93"/>
    </row>
    <row r="2413" spans="30:36" ht="18">
      <c r="AD2413" s="93"/>
      <c r="AE2413" s="214"/>
      <c r="AF2413" s="93"/>
      <c r="AG2413" s="93"/>
      <c r="AH2413" s="93"/>
      <c r="AI2413" s="93"/>
      <c r="AJ2413" s="93"/>
    </row>
    <row r="2414" spans="30:36" ht="18">
      <c r="AD2414" s="93"/>
      <c r="AE2414" s="215"/>
      <c r="AF2414" s="93"/>
      <c r="AG2414" s="93"/>
      <c r="AH2414" s="93"/>
      <c r="AI2414" s="93"/>
      <c r="AJ2414" s="93"/>
    </row>
    <row r="2415" spans="30:36" ht="18">
      <c r="AD2415" s="93"/>
      <c r="AE2415" s="215"/>
      <c r="AF2415" s="93"/>
      <c r="AG2415" s="93"/>
      <c r="AH2415" s="93"/>
      <c r="AI2415" s="93"/>
      <c r="AJ2415" s="93"/>
    </row>
    <row r="2416" spans="30:36" ht="18">
      <c r="AD2416" s="93"/>
      <c r="AE2416" s="214"/>
      <c r="AF2416" s="93"/>
      <c r="AG2416" s="93"/>
      <c r="AH2416" s="93"/>
      <c r="AI2416" s="93"/>
      <c r="AJ2416" s="93"/>
    </row>
    <row r="2417" spans="30:36" ht="18">
      <c r="AD2417" s="93"/>
      <c r="AE2417" s="214"/>
      <c r="AF2417" s="93"/>
      <c r="AG2417" s="93"/>
      <c r="AH2417" s="93"/>
      <c r="AI2417" s="93"/>
      <c r="AJ2417" s="93"/>
    </row>
    <row r="2418" spans="30:36" ht="18">
      <c r="AD2418" s="93"/>
      <c r="AE2418" s="214"/>
      <c r="AF2418" s="93"/>
      <c r="AG2418" s="93"/>
      <c r="AH2418" s="93"/>
      <c r="AI2418" s="93"/>
      <c r="AJ2418" s="93"/>
    </row>
    <row r="2419" spans="30:36" ht="18">
      <c r="AD2419" s="93"/>
      <c r="AE2419" s="214"/>
      <c r="AF2419" s="93"/>
      <c r="AG2419" s="93"/>
      <c r="AH2419" s="93"/>
      <c r="AI2419" s="93"/>
      <c r="AJ2419" s="93"/>
    </row>
    <row r="2420" spans="30:36" ht="18">
      <c r="AD2420" s="93"/>
      <c r="AE2420" s="214"/>
      <c r="AF2420" s="93"/>
      <c r="AG2420" s="93"/>
      <c r="AH2420" s="93"/>
      <c r="AI2420" s="93"/>
      <c r="AJ2420" s="93"/>
    </row>
    <row r="2421" spans="30:36" ht="18">
      <c r="AD2421" s="93"/>
      <c r="AE2421" s="214"/>
      <c r="AF2421" s="93"/>
      <c r="AG2421" s="93"/>
      <c r="AH2421" s="93"/>
      <c r="AI2421" s="93"/>
      <c r="AJ2421" s="93"/>
    </row>
    <row r="2422" spans="30:36" ht="18">
      <c r="AD2422" s="93"/>
      <c r="AE2422" s="215"/>
      <c r="AF2422" s="93"/>
      <c r="AG2422" s="93"/>
      <c r="AH2422" s="93"/>
      <c r="AI2422" s="93"/>
      <c r="AJ2422" s="93"/>
    </row>
    <row r="2423" spans="30:36" ht="18">
      <c r="AD2423" s="93"/>
      <c r="AE2423" s="215"/>
      <c r="AF2423" s="93"/>
      <c r="AG2423" s="93"/>
      <c r="AH2423" s="93"/>
      <c r="AI2423" s="93"/>
      <c r="AJ2423" s="93"/>
    </row>
    <row r="2424" spans="30:36" ht="18">
      <c r="AD2424" s="93"/>
      <c r="AE2424" s="214"/>
      <c r="AF2424" s="93"/>
      <c r="AG2424" s="93"/>
      <c r="AH2424" s="93"/>
      <c r="AI2424" s="93"/>
      <c r="AJ2424" s="93"/>
    </row>
    <row r="2425" spans="30:36" ht="18">
      <c r="AD2425" s="93"/>
      <c r="AE2425" s="214"/>
      <c r="AF2425" s="93"/>
      <c r="AG2425" s="93"/>
      <c r="AH2425" s="93"/>
      <c r="AI2425" s="93"/>
      <c r="AJ2425" s="93"/>
    </row>
    <row r="2426" spans="30:36" ht="18">
      <c r="AD2426" s="93"/>
      <c r="AE2426" s="214"/>
      <c r="AF2426" s="93"/>
      <c r="AG2426" s="93"/>
      <c r="AH2426" s="93"/>
      <c r="AI2426" s="93"/>
      <c r="AJ2426" s="93"/>
    </row>
    <row r="2427" spans="30:36" ht="18">
      <c r="AD2427" s="93"/>
      <c r="AE2427" s="214"/>
      <c r="AF2427" s="93"/>
      <c r="AG2427" s="93"/>
      <c r="AH2427" s="93"/>
      <c r="AI2427" s="93"/>
      <c r="AJ2427" s="93"/>
    </row>
    <row r="2428" spans="30:36" ht="18">
      <c r="AD2428" s="93"/>
      <c r="AE2428" s="214"/>
      <c r="AF2428" s="93"/>
      <c r="AG2428" s="93"/>
      <c r="AH2428" s="93"/>
      <c r="AI2428" s="93"/>
      <c r="AJ2428" s="93"/>
    </row>
    <row r="2429" spans="30:36" ht="18">
      <c r="AD2429" s="93"/>
      <c r="AE2429" s="214"/>
      <c r="AF2429" s="93"/>
      <c r="AG2429" s="93"/>
      <c r="AH2429" s="93"/>
      <c r="AI2429" s="93"/>
      <c r="AJ2429" s="93"/>
    </row>
    <row r="2430" spans="30:36" ht="18">
      <c r="AD2430" s="93"/>
      <c r="AE2430" s="214"/>
      <c r="AF2430" s="93"/>
      <c r="AG2430" s="93"/>
      <c r="AH2430" s="93"/>
      <c r="AI2430" s="93"/>
      <c r="AJ2430" s="93"/>
    </row>
    <row r="2431" spans="30:36" ht="18">
      <c r="AD2431" s="93"/>
      <c r="AE2431" s="214"/>
      <c r="AF2431" s="93"/>
      <c r="AG2431" s="93"/>
      <c r="AH2431" s="93"/>
      <c r="AI2431" s="93"/>
      <c r="AJ2431" s="93"/>
    </row>
    <row r="2432" spans="30:36" ht="18">
      <c r="AD2432" s="93"/>
      <c r="AE2432" s="214"/>
      <c r="AF2432" s="93"/>
      <c r="AG2432" s="93"/>
      <c r="AH2432" s="93"/>
      <c r="AI2432" s="93"/>
      <c r="AJ2432" s="93"/>
    </row>
    <row r="2433" spans="30:36" ht="18">
      <c r="AD2433" s="93"/>
      <c r="AE2433" s="214"/>
      <c r="AF2433" s="93"/>
      <c r="AG2433" s="93"/>
      <c r="AH2433" s="93"/>
      <c r="AI2433" s="93"/>
      <c r="AJ2433" s="93"/>
    </row>
    <row r="2434" spans="30:36" ht="18">
      <c r="AD2434" s="93"/>
      <c r="AE2434" s="215"/>
      <c r="AF2434" s="93"/>
      <c r="AG2434" s="93"/>
      <c r="AH2434" s="93"/>
      <c r="AI2434" s="93"/>
      <c r="AJ2434" s="93"/>
    </row>
    <row r="2435" spans="30:36" ht="18">
      <c r="AD2435" s="93"/>
      <c r="AE2435" s="215"/>
      <c r="AF2435" s="93"/>
      <c r="AG2435" s="93"/>
      <c r="AH2435" s="93"/>
      <c r="AI2435" s="93"/>
      <c r="AJ2435" s="93"/>
    </row>
    <row r="2436" spans="30:36" ht="18">
      <c r="AD2436" s="93"/>
      <c r="AE2436" s="214"/>
      <c r="AF2436" s="93"/>
      <c r="AG2436" s="93"/>
      <c r="AH2436" s="93"/>
      <c r="AI2436" s="93"/>
      <c r="AJ2436" s="93"/>
    </row>
    <row r="2437" spans="30:36" ht="18">
      <c r="AD2437" s="93"/>
      <c r="AE2437" s="214"/>
      <c r="AF2437" s="93"/>
      <c r="AG2437" s="93"/>
      <c r="AH2437" s="93"/>
      <c r="AI2437" s="93"/>
      <c r="AJ2437" s="93"/>
    </row>
    <row r="2438" spans="30:36" ht="18">
      <c r="AD2438" s="93"/>
      <c r="AE2438" s="214"/>
      <c r="AF2438" s="93"/>
      <c r="AG2438" s="93"/>
      <c r="AH2438" s="93"/>
      <c r="AI2438" s="93"/>
      <c r="AJ2438" s="93"/>
    </row>
    <row r="2439" spans="30:36" ht="18">
      <c r="AD2439" s="93"/>
      <c r="AE2439" s="214"/>
      <c r="AF2439" s="93"/>
      <c r="AG2439" s="93"/>
      <c r="AH2439" s="93"/>
      <c r="AI2439" s="93"/>
      <c r="AJ2439" s="93"/>
    </row>
    <row r="2440" spans="30:36" ht="18">
      <c r="AD2440" s="93"/>
      <c r="AE2440" s="214"/>
      <c r="AF2440" s="93"/>
      <c r="AG2440" s="93"/>
      <c r="AH2440" s="93"/>
      <c r="AI2440" s="93"/>
      <c r="AJ2440" s="93"/>
    </row>
    <row r="2441" spans="30:36" ht="18">
      <c r="AD2441" s="93"/>
      <c r="AE2441" s="214"/>
      <c r="AF2441" s="93"/>
      <c r="AG2441" s="93"/>
      <c r="AH2441" s="93"/>
      <c r="AI2441" s="93"/>
      <c r="AJ2441" s="93"/>
    </row>
    <row r="2442" spans="30:36" ht="18">
      <c r="AD2442" s="93"/>
      <c r="AE2442" s="214"/>
      <c r="AF2442" s="93"/>
      <c r="AG2442" s="93"/>
      <c r="AH2442" s="93"/>
      <c r="AI2442" s="93"/>
      <c r="AJ2442" s="93"/>
    </row>
    <row r="2443" spans="30:36" ht="18">
      <c r="AD2443" s="93"/>
      <c r="AE2443" s="214"/>
      <c r="AF2443" s="93"/>
      <c r="AG2443" s="93"/>
      <c r="AH2443" s="93"/>
      <c r="AI2443" s="93"/>
      <c r="AJ2443" s="93"/>
    </row>
    <row r="2444" spans="30:36" ht="18">
      <c r="AD2444" s="93"/>
      <c r="AE2444" s="214"/>
      <c r="AF2444" s="93"/>
      <c r="AG2444" s="93"/>
      <c r="AH2444" s="93"/>
      <c r="AI2444" s="93"/>
      <c r="AJ2444" s="93"/>
    </row>
    <row r="2445" spans="30:36" ht="18">
      <c r="AD2445" s="93"/>
      <c r="AE2445" s="214"/>
      <c r="AF2445" s="93"/>
      <c r="AG2445" s="93"/>
      <c r="AH2445" s="93"/>
      <c r="AI2445" s="93"/>
      <c r="AJ2445" s="93"/>
    </row>
    <row r="2446" spans="30:36" ht="18">
      <c r="AD2446" s="93"/>
      <c r="AE2446" s="214"/>
      <c r="AF2446" s="93"/>
      <c r="AG2446" s="93"/>
      <c r="AH2446" s="93"/>
      <c r="AI2446" s="93"/>
      <c r="AJ2446" s="93"/>
    </row>
    <row r="2447" spans="30:36" ht="18">
      <c r="AD2447" s="93"/>
      <c r="AE2447" s="214"/>
      <c r="AF2447" s="93"/>
      <c r="AG2447" s="93"/>
      <c r="AH2447" s="93"/>
      <c r="AI2447" s="93"/>
      <c r="AJ2447" s="93"/>
    </row>
    <row r="2448" spans="30:36" ht="18">
      <c r="AD2448" s="93"/>
      <c r="AE2448" s="215"/>
      <c r="AF2448" s="93"/>
      <c r="AG2448" s="93"/>
      <c r="AH2448" s="93"/>
      <c r="AI2448" s="93"/>
      <c r="AJ2448" s="93"/>
    </row>
    <row r="2449" spans="30:36" ht="18">
      <c r="AD2449" s="93"/>
      <c r="AE2449" s="215"/>
      <c r="AF2449" s="93"/>
      <c r="AG2449" s="93"/>
      <c r="AH2449" s="93"/>
      <c r="AI2449" s="93"/>
      <c r="AJ2449" s="93"/>
    </row>
    <row r="2450" spans="30:36" ht="18">
      <c r="AD2450" s="93"/>
      <c r="AE2450" s="214"/>
      <c r="AF2450" s="93"/>
      <c r="AG2450" s="93"/>
      <c r="AH2450" s="93"/>
      <c r="AI2450" s="93"/>
      <c r="AJ2450" s="93"/>
    </row>
    <row r="2451" spans="30:36" ht="18">
      <c r="AD2451" s="93"/>
      <c r="AE2451" s="214"/>
      <c r="AF2451" s="93"/>
      <c r="AG2451" s="93"/>
      <c r="AH2451" s="93"/>
      <c r="AI2451" s="93"/>
      <c r="AJ2451" s="93"/>
    </row>
    <row r="2452" spans="30:36" ht="18">
      <c r="AD2452" s="93"/>
      <c r="AE2452" s="214"/>
      <c r="AF2452" s="93"/>
      <c r="AG2452" s="93"/>
      <c r="AH2452" s="93"/>
      <c r="AI2452" s="93"/>
      <c r="AJ2452" s="93"/>
    </row>
    <row r="2453" spans="30:36" ht="18">
      <c r="AD2453" s="93"/>
      <c r="AE2453" s="214"/>
      <c r="AF2453" s="93"/>
      <c r="AG2453" s="93"/>
      <c r="AH2453" s="93"/>
      <c r="AI2453" s="93"/>
      <c r="AJ2453" s="93"/>
    </row>
    <row r="2454" spans="30:36" ht="18">
      <c r="AD2454" s="93"/>
      <c r="AE2454" s="214"/>
      <c r="AF2454" s="93"/>
      <c r="AG2454" s="93"/>
      <c r="AH2454" s="93"/>
      <c r="AI2454" s="93"/>
      <c r="AJ2454" s="93"/>
    </row>
    <row r="2455" spans="30:36" ht="18">
      <c r="AD2455" s="93"/>
      <c r="AE2455" s="215"/>
      <c r="AF2455" s="93"/>
      <c r="AG2455" s="93"/>
      <c r="AH2455" s="93"/>
      <c r="AI2455" s="93"/>
      <c r="AJ2455" s="93"/>
    </row>
    <row r="2456" spans="30:36" ht="18">
      <c r="AD2456" s="93"/>
      <c r="AE2456" s="214"/>
      <c r="AF2456" s="93"/>
      <c r="AG2456" s="93"/>
      <c r="AH2456" s="93"/>
      <c r="AI2456" s="93"/>
      <c r="AJ2456" s="93"/>
    </row>
    <row r="2457" spans="30:36" ht="18">
      <c r="AD2457" s="93"/>
      <c r="AE2457" s="214"/>
      <c r="AF2457" s="93"/>
      <c r="AG2457" s="93"/>
      <c r="AH2457" s="93"/>
      <c r="AI2457" s="93"/>
      <c r="AJ2457" s="93"/>
    </row>
    <row r="2458" spans="30:36" ht="18">
      <c r="AD2458" s="93"/>
      <c r="AE2458" s="214"/>
      <c r="AF2458" s="93"/>
      <c r="AG2458" s="93"/>
      <c r="AH2458" s="93"/>
      <c r="AI2458" s="93"/>
      <c r="AJ2458" s="93"/>
    </row>
    <row r="2459" spans="30:36" ht="18">
      <c r="AD2459" s="93"/>
      <c r="AE2459" s="214"/>
      <c r="AF2459" s="93"/>
      <c r="AG2459" s="93"/>
      <c r="AH2459" s="93"/>
      <c r="AI2459" s="93"/>
      <c r="AJ2459" s="93"/>
    </row>
    <row r="2460" spans="30:36" ht="18">
      <c r="AD2460" s="93"/>
      <c r="AE2460" s="215"/>
      <c r="AF2460" s="93"/>
      <c r="AG2460" s="93"/>
      <c r="AH2460" s="93"/>
      <c r="AI2460" s="93"/>
      <c r="AJ2460" s="93"/>
    </row>
    <row r="2461" spans="30:36" ht="18">
      <c r="AD2461" s="93"/>
      <c r="AE2461" s="214"/>
      <c r="AF2461" s="93"/>
      <c r="AG2461" s="93"/>
      <c r="AH2461" s="93"/>
      <c r="AI2461" s="93"/>
      <c r="AJ2461" s="93"/>
    </row>
    <row r="2462" spans="30:36" ht="18">
      <c r="AD2462" s="93"/>
      <c r="AE2462" s="214"/>
      <c r="AF2462" s="93"/>
      <c r="AG2462" s="93"/>
      <c r="AH2462" s="93"/>
      <c r="AI2462" s="93"/>
      <c r="AJ2462" s="93"/>
    </row>
    <row r="2463" spans="30:36" ht="18">
      <c r="AD2463" s="93"/>
      <c r="AE2463" s="214"/>
      <c r="AF2463" s="93"/>
      <c r="AG2463" s="93"/>
      <c r="AH2463" s="93"/>
      <c r="AI2463" s="93"/>
      <c r="AJ2463" s="93"/>
    </row>
    <row r="2464" spans="30:36" ht="18">
      <c r="AD2464" s="93"/>
      <c r="AE2464" s="214"/>
      <c r="AF2464" s="93"/>
      <c r="AG2464" s="93"/>
      <c r="AH2464" s="93"/>
      <c r="AI2464" s="93"/>
      <c r="AJ2464" s="93"/>
    </row>
    <row r="2465" spans="30:36" ht="18">
      <c r="AD2465" s="93"/>
      <c r="AE2465" s="215"/>
      <c r="AF2465" s="93"/>
      <c r="AG2465" s="93"/>
      <c r="AH2465" s="93"/>
      <c r="AI2465" s="93"/>
      <c r="AJ2465" s="93"/>
    </row>
    <row r="2466" spans="30:36" ht="18">
      <c r="AD2466" s="93"/>
      <c r="AE2466" s="214"/>
      <c r="AF2466" s="93"/>
      <c r="AG2466" s="93"/>
      <c r="AH2466" s="93"/>
      <c r="AI2466" s="93"/>
      <c r="AJ2466" s="93"/>
    </row>
    <row r="2467" spans="30:36" ht="18">
      <c r="AD2467" s="93"/>
      <c r="AE2467" s="214"/>
      <c r="AF2467" s="93"/>
      <c r="AG2467" s="93"/>
      <c r="AH2467" s="93"/>
      <c r="AI2467" s="93"/>
      <c r="AJ2467" s="93"/>
    </row>
    <row r="2468" spans="30:36" ht="18">
      <c r="AD2468" s="93"/>
      <c r="AE2468" s="214"/>
      <c r="AF2468" s="93"/>
      <c r="AG2468" s="93"/>
      <c r="AH2468" s="93"/>
      <c r="AI2468" s="93"/>
      <c r="AJ2468" s="93"/>
    </row>
    <row r="2469" spans="30:36" ht="18">
      <c r="AD2469" s="93"/>
      <c r="AE2469" s="214"/>
      <c r="AF2469" s="93"/>
      <c r="AG2469" s="93"/>
      <c r="AH2469" s="93"/>
      <c r="AI2469" s="93"/>
      <c r="AJ2469" s="93"/>
    </row>
    <row r="2470" spans="30:36" ht="18">
      <c r="AD2470" s="93"/>
      <c r="AE2470" s="214"/>
      <c r="AF2470" s="93"/>
      <c r="AG2470" s="93"/>
      <c r="AH2470" s="93"/>
      <c r="AI2470" s="93"/>
      <c r="AJ2470" s="93"/>
    </row>
    <row r="2471" spans="30:36" ht="18">
      <c r="AD2471" s="93"/>
      <c r="AE2471" s="214"/>
      <c r="AF2471" s="93"/>
      <c r="AG2471" s="93"/>
      <c r="AH2471" s="93"/>
      <c r="AI2471" s="93"/>
      <c r="AJ2471" s="93"/>
    </row>
    <row r="2472" spans="30:36" ht="18">
      <c r="AD2472" s="93"/>
      <c r="AE2472" s="214"/>
      <c r="AF2472" s="93"/>
      <c r="AG2472" s="93"/>
      <c r="AH2472" s="93"/>
      <c r="AI2472" s="93"/>
      <c r="AJ2472" s="93"/>
    </row>
    <row r="2473" spans="30:36" ht="18">
      <c r="AD2473" s="93"/>
      <c r="AE2473" s="214"/>
      <c r="AF2473" s="93"/>
      <c r="AG2473" s="93"/>
      <c r="AH2473" s="93"/>
      <c r="AI2473" s="93"/>
      <c r="AJ2473" s="93"/>
    </row>
    <row r="2474" spans="30:36" ht="18">
      <c r="AD2474" s="93"/>
      <c r="AE2474" s="214"/>
      <c r="AF2474" s="93"/>
      <c r="AG2474" s="93"/>
      <c r="AH2474" s="93"/>
      <c r="AI2474" s="93"/>
      <c r="AJ2474" s="93"/>
    </row>
    <row r="2475" spans="30:36" ht="18">
      <c r="AD2475" s="93"/>
      <c r="AE2475" s="215"/>
      <c r="AF2475" s="93"/>
      <c r="AG2475" s="93"/>
      <c r="AH2475" s="93"/>
      <c r="AI2475" s="93"/>
      <c r="AJ2475" s="93"/>
    </row>
    <row r="2476" spans="30:36" ht="18">
      <c r="AD2476" s="93"/>
      <c r="AE2476" s="214"/>
      <c r="AF2476" s="93"/>
      <c r="AG2476" s="93"/>
      <c r="AH2476" s="93"/>
      <c r="AI2476" s="93"/>
      <c r="AJ2476" s="93"/>
    </row>
    <row r="2477" spans="30:36" ht="18">
      <c r="AD2477" s="93"/>
      <c r="AE2477" s="214"/>
      <c r="AF2477" s="93"/>
      <c r="AG2477" s="93"/>
      <c r="AH2477" s="93"/>
      <c r="AI2477" s="93"/>
      <c r="AJ2477" s="93"/>
    </row>
    <row r="2478" spans="30:36" ht="18">
      <c r="AD2478" s="93"/>
      <c r="AE2478" s="214"/>
      <c r="AF2478" s="93"/>
      <c r="AG2478" s="93"/>
      <c r="AH2478" s="93"/>
      <c r="AI2478" s="93"/>
      <c r="AJ2478" s="93"/>
    </row>
    <row r="2479" spans="30:36" ht="18">
      <c r="AD2479" s="93"/>
      <c r="AE2479" s="214"/>
      <c r="AF2479" s="93"/>
      <c r="AG2479" s="93"/>
      <c r="AH2479" s="93"/>
      <c r="AI2479" s="93"/>
      <c r="AJ2479" s="93"/>
    </row>
    <row r="2480" spans="30:36" ht="18">
      <c r="AD2480" s="93"/>
      <c r="AE2480" s="214"/>
      <c r="AF2480" s="93"/>
      <c r="AG2480" s="93"/>
      <c r="AH2480" s="93"/>
      <c r="AI2480" s="93"/>
      <c r="AJ2480" s="93"/>
    </row>
    <row r="2481" spans="30:36" ht="18">
      <c r="AD2481" s="93"/>
      <c r="AE2481" s="214"/>
      <c r="AF2481" s="93"/>
      <c r="AG2481" s="93"/>
      <c r="AH2481" s="93"/>
      <c r="AI2481" s="93"/>
      <c r="AJ2481" s="93"/>
    </row>
    <row r="2482" spans="30:36" ht="18">
      <c r="AD2482" s="93"/>
      <c r="AE2482" s="214"/>
      <c r="AF2482" s="93"/>
      <c r="AG2482" s="93"/>
      <c r="AH2482" s="93"/>
      <c r="AI2482" s="93"/>
      <c r="AJ2482" s="93"/>
    </row>
    <row r="2483" spans="30:36" ht="18">
      <c r="AD2483" s="93"/>
      <c r="AE2483" s="214"/>
      <c r="AF2483" s="93"/>
      <c r="AG2483" s="93"/>
      <c r="AH2483" s="93"/>
      <c r="AI2483" s="93"/>
      <c r="AJ2483" s="93"/>
    </row>
    <row r="2484" spans="30:36" ht="18">
      <c r="AD2484" s="93"/>
      <c r="AE2484" s="214"/>
      <c r="AF2484" s="93"/>
      <c r="AG2484" s="93"/>
      <c r="AH2484" s="93"/>
      <c r="AI2484" s="93"/>
      <c r="AJ2484" s="93"/>
    </row>
    <row r="2485" spans="30:36" ht="18">
      <c r="AD2485" s="93"/>
      <c r="AE2485" s="214"/>
      <c r="AF2485" s="93"/>
      <c r="AG2485" s="93"/>
      <c r="AH2485" s="93"/>
      <c r="AI2485" s="93"/>
      <c r="AJ2485" s="93"/>
    </row>
    <row r="2486" spans="30:36" ht="18">
      <c r="AD2486" s="93"/>
      <c r="AE2486" s="214"/>
      <c r="AF2486" s="93"/>
      <c r="AG2486" s="93"/>
      <c r="AH2486" s="93"/>
      <c r="AI2486" s="93"/>
      <c r="AJ2486" s="93"/>
    </row>
    <row r="2487" spans="30:36" ht="18">
      <c r="AD2487" s="93"/>
      <c r="AE2487" s="215"/>
      <c r="AF2487" s="93"/>
      <c r="AG2487" s="93"/>
      <c r="AH2487" s="93"/>
      <c r="AI2487" s="93"/>
      <c r="AJ2487" s="93"/>
    </row>
    <row r="2488" spans="30:36" ht="18">
      <c r="AD2488" s="93"/>
      <c r="AE2488" s="215"/>
      <c r="AF2488" s="93"/>
      <c r="AG2488" s="93"/>
      <c r="AH2488" s="93"/>
      <c r="AI2488" s="93"/>
      <c r="AJ2488" s="93"/>
    </row>
    <row r="2489" spans="30:36" ht="18">
      <c r="AD2489" s="93"/>
      <c r="AE2489" s="214"/>
      <c r="AF2489" s="93"/>
      <c r="AG2489" s="93"/>
      <c r="AH2489" s="93"/>
      <c r="AI2489" s="93"/>
      <c r="AJ2489" s="93"/>
    </row>
    <row r="2490" spans="30:36" ht="18">
      <c r="AD2490" s="93"/>
      <c r="AE2490" s="214"/>
      <c r="AF2490" s="93"/>
      <c r="AG2490" s="93"/>
      <c r="AH2490" s="93"/>
      <c r="AI2490" s="93"/>
      <c r="AJ2490" s="93"/>
    </row>
    <row r="2491" spans="30:36" ht="18">
      <c r="AD2491" s="93"/>
      <c r="AE2491" s="214"/>
      <c r="AF2491" s="93"/>
      <c r="AG2491" s="93"/>
      <c r="AH2491" s="93"/>
      <c r="AI2491" s="93"/>
      <c r="AJ2491" s="93"/>
    </row>
    <row r="2492" spans="30:36" ht="18">
      <c r="AD2492" s="93"/>
      <c r="AE2492" s="214"/>
      <c r="AF2492" s="93"/>
      <c r="AG2492" s="93"/>
      <c r="AH2492" s="93"/>
      <c r="AI2492" s="93"/>
      <c r="AJ2492" s="93"/>
    </row>
    <row r="2493" spans="30:36" ht="18">
      <c r="AD2493" s="93"/>
      <c r="AE2493" s="214"/>
      <c r="AF2493" s="93"/>
      <c r="AG2493" s="93"/>
      <c r="AH2493" s="93"/>
      <c r="AI2493" s="93"/>
      <c r="AJ2493" s="93"/>
    </row>
    <row r="2494" spans="30:36" ht="18">
      <c r="AD2494" s="93"/>
      <c r="AE2494" s="214"/>
      <c r="AF2494" s="93"/>
      <c r="AG2494" s="93"/>
      <c r="AH2494" s="93"/>
      <c r="AI2494" s="93"/>
      <c r="AJ2494" s="93"/>
    </row>
    <row r="2495" spans="30:36" ht="18">
      <c r="AD2495" s="93"/>
      <c r="AE2495" s="214"/>
      <c r="AF2495" s="93"/>
      <c r="AG2495" s="93"/>
      <c r="AH2495" s="93"/>
      <c r="AI2495" s="93"/>
      <c r="AJ2495" s="93"/>
    </row>
    <row r="2496" spans="30:36" ht="18">
      <c r="AD2496" s="93"/>
      <c r="AE2496" s="214"/>
      <c r="AF2496" s="93"/>
      <c r="AG2496" s="93"/>
      <c r="AH2496" s="93"/>
      <c r="AI2496" s="93"/>
      <c r="AJ2496" s="93"/>
    </row>
    <row r="2497" spans="30:36" ht="18">
      <c r="AD2497" s="93"/>
      <c r="AE2497" s="214"/>
      <c r="AF2497" s="93"/>
      <c r="AG2497" s="93"/>
      <c r="AH2497" s="93"/>
      <c r="AI2497" s="93"/>
      <c r="AJ2497" s="93"/>
    </row>
    <row r="2498" spans="30:36" ht="18">
      <c r="AD2498" s="93"/>
      <c r="AE2498" s="214"/>
      <c r="AF2498" s="93"/>
      <c r="AG2498" s="93"/>
      <c r="AH2498" s="93"/>
      <c r="AI2498" s="93"/>
      <c r="AJ2498" s="93"/>
    </row>
    <row r="2499" spans="30:36" ht="18">
      <c r="AD2499" s="93"/>
      <c r="AE2499" s="214"/>
      <c r="AF2499" s="93"/>
      <c r="AG2499" s="93"/>
      <c r="AH2499" s="93"/>
      <c r="AI2499" s="93"/>
      <c r="AJ2499" s="93"/>
    </row>
    <row r="2500" spans="30:36" ht="18">
      <c r="AD2500" s="93"/>
      <c r="AE2500" s="214"/>
      <c r="AF2500" s="93"/>
      <c r="AG2500" s="93"/>
      <c r="AH2500" s="93"/>
      <c r="AI2500" s="93"/>
      <c r="AJ2500" s="93"/>
    </row>
    <row r="2501" spans="30:36" ht="18">
      <c r="AD2501" s="93"/>
      <c r="AE2501" s="214"/>
      <c r="AF2501" s="93"/>
      <c r="AG2501" s="93"/>
      <c r="AH2501" s="93"/>
      <c r="AI2501" s="93"/>
      <c r="AJ2501" s="93"/>
    </row>
    <row r="2502" spans="30:36" ht="18">
      <c r="AD2502" s="93"/>
      <c r="AE2502" s="214"/>
      <c r="AF2502" s="93"/>
      <c r="AG2502" s="93"/>
      <c r="AH2502" s="93"/>
      <c r="AI2502" s="93"/>
      <c r="AJ2502" s="93"/>
    </row>
    <row r="2503" spans="30:36" ht="18">
      <c r="AD2503" s="93"/>
      <c r="AE2503" s="214"/>
      <c r="AF2503" s="93"/>
      <c r="AG2503" s="93"/>
      <c r="AH2503" s="93"/>
      <c r="AI2503" s="93"/>
      <c r="AJ2503" s="93"/>
    </row>
    <row r="2504" spans="30:36" ht="18">
      <c r="AD2504" s="93"/>
      <c r="AE2504" s="214"/>
      <c r="AF2504" s="93"/>
      <c r="AG2504" s="93"/>
      <c r="AH2504" s="93"/>
      <c r="AI2504" s="93"/>
      <c r="AJ2504" s="93"/>
    </row>
    <row r="2505" spans="30:36" ht="18">
      <c r="AD2505" s="93"/>
      <c r="AE2505" s="214"/>
      <c r="AF2505" s="93"/>
      <c r="AG2505" s="93"/>
      <c r="AH2505" s="93"/>
      <c r="AI2505" s="93"/>
      <c r="AJ2505" s="93"/>
    </row>
    <row r="2506" spans="30:36" ht="18">
      <c r="AD2506" s="93"/>
      <c r="AE2506" s="214"/>
      <c r="AF2506" s="93"/>
      <c r="AG2506" s="93"/>
      <c r="AH2506" s="93"/>
      <c r="AI2506" s="93"/>
      <c r="AJ2506" s="93"/>
    </row>
    <row r="2507" spans="30:36" ht="18">
      <c r="AD2507" s="93"/>
      <c r="AE2507" s="214"/>
      <c r="AF2507" s="93"/>
      <c r="AG2507" s="93"/>
      <c r="AH2507" s="93"/>
      <c r="AI2507" s="93"/>
      <c r="AJ2507" s="93"/>
    </row>
    <row r="2508" spans="30:36" ht="18">
      <c r="AD2508" s="93"/>
      <c r="AE2508" s="214"/>
      <c r="AF2508" s="93"/>
      <c r="AG2508" s="93"/>
      <c r="AH2508" s="93"/>
      <c r="AI2508" s="93"/>
      <c r="AJ2508" s="93"/>
    </row>
    <row r="2509" spans="30:36" ht="18">
      <c r="AD2509" s="93"/>
      <c r="AE2509" s="214"/>
      <c r="AF2509" s="93"/>
      <c r="AG2509" s="93"/>
      <c r="AH2509" s="93"/>
      <c r="AI2509" s="93"/>
      <c r="AJ2509" s="93"/>
    </row>
    <row r="2510" spans="30:36" ht="18">
      <c r="AD2510" s="93"/>
      <c r="AE2510" s="214"/>
      <c r="AF2510" s="93"/>
      <c r="AG2510" s="93"/>
      <c r="AH2510" s="93"/>
      <c r="AI2510" s="93"/>
      <c r="AJ2510" s="93"/>
    </row>
    <row r="2511" spans="30:36" ht="18">
      <c r="AD2511" s="93"/>
      <c r="AE2511" s="214"/>
      <c r="AF2511" s="93"/>
      <c r="AG2511" s="93"/>
      <c r="AH2511" s="93"/>
      <c r="AI2511" s="93"/>
      <c r="AJ2511" s="93"/>
    </row>
    <row r="2512" spans="30:36" ht="18">
      <c r="AD2512" s="93"/>
      <c r="AE2512" s="214"/>
      <c r="AF2512" s="93"/>
      <c r="AG2512" s="93"/>
      <c r="AH2512" s="93"/>
      <c r="AI2512" s="93"/>
      <c r="AJ2512" s="93"/>
    </row>
    <row r="2513" spans="30:36" ht="18">
      <c r="AD2513" s="93"/>
      <c r="AE2513" s="214"/>
      <c r="AF2513" s="93"/>
      <c r="AG2513" s="93"/>
      <c r="AH2513" s="93"/>
      <c r="AI2513" s="93"/>
      <c r="AJ2513" s="93"/>
    </row>
    <row r="2514" spans="30:36" ht="18">
      <c r="AD2514" s="93"/>
      <c r="AE2514" s="214"/>
      <c r="AF2514" s="93"/>
      <c r="AG2514" s="93"/>
      <c r="AH2514" s="93"/>
      <c r="AI2514" s="93"/>
      <c r="AJ2514" s="93"/>
    </row>
    <row r="2515" spans="30:36" ht="18">
      <c r="AD2515" s="93"/>
      <c r="AE2515" s="214"/>
      <c r="AF2515" s="93"/>
      <c r="AG2515" s="93"/>
      <c r="AH2515" s="93"/>
      <c r="AI2515" s="93"/>
      <c r="AJ2515" s="93"/>
    </row>
    <row r="2516" spans="30:36" ht="18">
      <c r="AD2516" s="93"/>
      <c r="AE2516" s="214"/>
      <c r="AF2516" s="93"/>
      <c r="AG2516" s="93"/>
      <c r="AH2516" s="93"/>
      <c r="AI2516" s="93"/>
      <c r="AJ2516" s="93"/>
    </row>
    <row r="2517" spans="30:36" ht="18">
      <c r="AD2517" s="93"/>
      <c r="AE2517" s="214"/>
      <c r="AF2517" s="93"/>
      <c r="AG2517" s="93"/>
      <c r="AH2517" s="93"/>
      <c r="AI2517" s="93"/>
      <c r="AJ2517" s="93"/>
    </row>
    <row r="2518" spans="30:36" ht="18">
      <c r="AD2518" s="93"/>
      <c r="AE2518" s="214"/>
      <c r="AF2518" s="93"/>
      <c r="AG2518" s="93"/>
      <c r="AH2518" s="93"/>
      <c r="AI2518" s="93"/>
      <c r="AJ2518" s="93"/>
    </row>
    <row r="2519" spans="30:36" ht="18">
      <c r="AD2519" s="93"/>
      <c r="AE2519" s="215"/>
      <c r="AF2519" s="93"/>
      <c r="AG2519" s="93"/>
      <c r="AH2519" s="93"/>
      <c r="AI2519" s="93"/>
      <c r="AJ2519" s="93"/>
    </row>
    <row r="2520" spans="30:36" ht="18">
      <c r="AD2520" s="93"/>
      <c r="AE2520" s="215"/>
      <c r="AF2520" s="93"/>
      <c r="AG2520" s="93"/>
      <c r="AH2520" s="93"/>
      <c r="AI2520" s="93"/>
      <c r="AJ2520" s="93"/>
    </row>
    <row r="2521" spans="30:36" ht="18">
      <c r="AD2521" s="93"/>
      <c r="AE2521" s="214"/>
      <c r="AF2521" s="93"/>
      <c r="AG2521" s="93"/>
      <c r="AH2521" s="93"/>
      <c r="AI2521" s="93"/>
      <c r="AJ2521" s="93"/>
    </row>
    <row r="2522" spans="30:36" ht="18">
      <c r="AD2522" s="93"/>
      <c r="AE2522" s="214"/>
      <c r="AF2522" s="93"/>
      <c r="AG2522" s="93"/>
      <c r="AH2522" s="93"/>
      <c r="AI2522" s="93"/>
      <c r="AJ2522" s="93"/>
    </row>
    <row r="2523" spans="30:36" ht="18">
      <c r="AD2523" s="93"/>
      <c r="AE2523" s="214"/>
      <c r="AF2523" s="93"/>
      <c r="AG2523" s="93"/>
      <c r="AH2523" s="93"/>
      <c r="AI2523" s="93"/>
      <c r="AJ2523" s="93"/>
    </row>
    <row r="2524" spans="30:36" ht="18">
      <c r="AD2524" s="93"/>
      <c r="AE2524" s="214"/>
      <c r="AF2524" s="93"/>
      <c r="AG2524" s="93"/>
      <c r="AH2524" s="93"/>
      <c r="AI2524" s="93"/>
      <c r="AJ2524" s="93"/>
    </row>
    <row r="2525" spans="30:36" ht="18">
      <c r="AD2525" s="93"/>
      <c r="AE2525" s="214"/>
      <c r="AF2525" s="93"/>
      <c r="AG2525" s="93"/>
      <c r="AH2525" s="93"/>
      <c r="AI2525" s="93"/>
      <c r="AJ2525" s="93"/>
    </row>
    <row r="2526" spans="30:36" ht="18">
      <c r="AD2526" s="93"/>
      <c r="AE2526" s="215"/>
      <c r="AF2526" s="93"/>
      <c r="AG2526" s="93"/>
      <c r="AH2526" s="93"/>
      <c r="AI2526" s="93"/>
      <c r="AJ2526" s="93"/>
    </row>
    <row r="2527" spans="30:36" ht="18">
      <c r="AD2527" s="93"/>
      <c r="AE2527" s="214"/>
      <c r="AF2527" s="93"/>
      <c r="AG2527" s="93"/>
      <c r="AH2527" s="93"/>
      <c r="AI2527" s="93"/>
      <c r="AJ2527" s="93"/>
    </row>
    <row r="2528" spans="30:36" ht="18">
      <c r="AD2528" s="93"/>
      <c r="AE2528" s="214"/>
      <c r="AF2528" s="93"/>
      <c r="AG2528" s="93"/>
      <c r="AH2528" s="93"/>
      <c r="AI2528" s="93"/>
      <c r="AJ2528" s="93"/>
    </row>
    <row r="2529" spans="30:36" ht="18">
      <c r="AD2529" s="93"/>
      <c r="AE2529" s="215"/>
      <c r="AF2529" s="93"/>
      <c r="AG2529" s="93"/>
      <c r="AH2529" s="93"/>
      <c r="AI2529" s="93"/>
      <c r="AJ2529" s="93"/>
    </row>
    <row r="2530" spans="30:36" ht="18">
      <c r="AD2530" s="93"/>
      <c r="AE2530" s="214"/>
      <c r="AF2530" s="93"/>
      <c r="AG2530" s="93"/>
      <c r="AH2530" s="93"/>
      <c r="AI2530" s="93"/>
      <c r="AJ2530" s="93"/>
    </row>
    <row r="2531" spans="30:36" ht="18">
      <c r="AD2531" s="93"/>
      <c r="AE2531" s="214"/>
      <c r="AF2531" s="93"/>
      <c r="AG2531" s="93"/>
      <c r="AH2531" s="93"/>
      <c r="AI2531" s="93"/>
      <c r="AJ2531" s="93"/>
    </row>
    <row r="2532" spans="30:36" ht="18">
      <c r="AD2532" s="93"/>
      <c r="AE2532" s="215"/>
      <c r="AF2532" s="93"/>
      <c r="AG2532" s="93"/>
      <c r="AH2532" s="93"/>
      <c r="AI2532" s="93"/>
      <c r="AJ2532" s="93"/>
    </row>
    <row r="2533" spans="30:36" ht="18">
      <c r="AD2533" s="93"/>
      <c r="AE2533" s="214"/>
      <c r="AF2533" s="93"/>
      <c r="AG2533" s="93"/>
      <c r="AH2533" s="93"/>
      <c r="AI2533" s="93"/>
      <c r="AJ2533" s="93"/>
    </row>
    <row r="2534" spans="30:36" ht="18">
      <c r="AD2534" s="93"/>
      <c r="AE2534" s="214"/>
      <c r="AF2534" s="93"/>
      <c r="AG2534" s="93"/>
      <c r="AH2534" s="93"/>
      <c r="AI2534" s="93"/>
      <c r="AJ2534" s="93"/>
    </row>
    <row r="2535" spans="30:36" ht="18">
      <c r="AD2535" s="93"/>
      <c r="AE2535" s="215"/>
      <c r="AF2535" s="93"/>
      <c r="AG2535" s="93"/>
      <c r="AH2535" s="93"/>
      <c r="AI2535" s="93"/>
      <c r="AJ2535" s="93"/>
    </row>
    <row r="2536" spans="30:36" ht="18">
      <c r="AD2536" s="93"/>
      <c r="AE2536" s="214"/>
      <c r="AF2536" s="93"/>
      <c r="AG2536" s="93"/>
      <c r="AH2536" s="93"/>
      <c r="AI2536" s="93"/>
      <c r="AJ2536" s="93"/>
    </row>
    <row r="2537" spans="30:36" ht="18">
      <c r="AD2537" s="93"/>
      <c r="AE2537" s="214"/>
      <c r="AF2537" s="93"/>
      <c r="AG2537" s="93"/>
      <c r="AH2537" s="93"/>
      <c r="AI2537" s="93"/>
      <c r="AJ2537" s="93"/>
    </row>
    <row r="2538" spans="30:36" ht="18">
      <c r="AD2538" s="93"/>
      <c r="AE2538" s="214"/>
      <c r="AF2538" s="93"/>
      <c r="AG2538" s="93"/>
      <c r="AH2538" s="93"/>
      <c r="AI2538" s="93"/>
      <c r="AJ2538" s="93"/>
    </row>
    <row r="2539" spans="30:36" ht="18">
      <c r="AD2539" s="93"/>
      <c r="AE2539" s="214"/>
      <c r="AF2539" s="93"/>
      <c r="AG2539" s="93"/>
      <c r="AH2539" s="93"/>
      <c r="AI2539" s="93"/>
      <c r="AJ2539" s="93"/>
    </row>
    <row r="2540" spans="30:36" ht="18">
      <c r="AD2540" s="93"/>
      <c r="AE2540" s="214"/>
      <c r="AF2540" s="93"/>
      <c r="AG2540" s="93"/>
      <c r="AH2540" s="93"/>
      <c r="AI2540" s="93"/>
      <c r="AJ2540" s="93"/>
    </row>
    <row r="2541" spans="30:36" ht="18">
      <c r="AD2541" s="93"/>
      <c r="AE2541" s="214"/>
      <c r="AF2541" s="93"/>
      <c r="AG2541" s="93"/>
      <c r="AH2541" s="93"/>
      <c r="AI2541" s="93"/>
      <c r="AJ2541" s="93"/>
    </row>
    <row r="2542" spans="30:36" ht="18">
      <c r="AD2542" s="93"/>
      <c r="AE2542" s="214"/>
      <c r="AF2542" s="93"/>
      <c r="AG2542" s="93"/>
      <c r="AH2542" s="93"/>
      <c r="AI2542" s="93"/>
      <c r="AJ2542" s="93"/>
    </row>
    <row r="2543" spans="30:36" ht="18">
      <c r="AD2543" s="93"/>
      <c r="AE2543" s="214"/>
      <c r="AF2543" s="93"/>
      <c r="AG2543" s="93"/>
      <c r="AH2543" s="93"/>
      <c r="AI2543" s="93"/>
      <c r="AJ2543" s="93"/>
    </row>
    <row r="2544" spans="30:36" ht="18">
      <c r="AD2544" s="93"/>
      <c r="AE2544" s="214"/>
      <c r="AF2544" s="93"/>
      <c r="AG2544" s="93"/>
      <c r="AH2544" s="93"/>
      <c r="AI2544" s="93"/>
      <c r="AJ2544" s="93"/>
    </row>
    <row r="2545" spans="30:36" ht="18">
      <c r="AD2545" s="93"/>
      <c r="AE2545" s="215"/>
      <c r="AF2545" s="93"/>
      <c r="AG2545" s="93"/>
      <c r="AH2545" s="93"/>
      <c r="AI2545" s="93"/>
      <c r="AJ2545" s="93"/>
    </row>
    <row r="2546" spans="30:36" ht="18">
      <c r="AD2546" s="93"/>
      <c r="AE2546" s="214"/>
      <c r="AF2546" s="93"/>
      <c r="AG2546" s="93"/>
      <c r="AH2546" s="93"/>
      <c r="AI2546" s="93"/>
      <c r="AJ2546" s="93"/>
    </row>
    <row r="2547" spans="30:36" ht="18">
      <c r="AD2547" s="93"/>
      <c r="AE2547" s="214"/>
      <c r="AF2547" s="93"/>
      <c r="AG2547" s="93"/>
      <c r="AH2547" s="93"/>
      <c r="AI2547" s="93"/>
      <c r="AJ2547" s="93"/>
    </row>
    <row r="2548" spans="30:36" ht="18">
      <c r="AD2548" s="93"/>
      <c r="AE2548" s="215"/>
      <c r="AF2548" s="93"/>
      <c r="AG2548" s="93"/>
      <c r="AH2548" s="93"/>
      <c r="AI2548" s="93"/>
      <c r="AJ2548" s="93"/>
    </row>
    <row r="2549" spans="30:36" ht="18">
      <c r="AD2549" s="93"/>
      <c r="AE2549" s="214"/>
      <c r="AF2549" s="93"/>
      <c r="AG2549" s="93"/>
      <c r="AH2549" s="93"/>
      <c r="AI2549" s="93"/>
      <c r="AJ2549" s="93"/>
    </row>
    <row r="2550" spans="30:36" ht="18">
      <c r="AD2550" s="93"/>
      <c r="AE2550" s="214"/>
      <c r="AF2550" s="93"/>
      <c r="AG2550" s="93"/>
      <c r="AH2550" s="93"/>
      <c r="AI2550" s="93"/>
      <c r="AJ2550" s="93"/>
    </row>
    <row r="2551" spans="30:36" ht="18">
      <c r="AD2551" s="93"/>
      <c r="AE2551" s="214"/>
      <c r="AF2551" s="93"/>
      <c r="AG2551" s="93"/>
      <c r="AH2551" s="93"/>
      <c r="AI2551" s="93"/>
      <c r="AJ2551" s="93"/>
    </row>
    <row r="2552" spans="30:36" ht="18">
      <c r="AD2552" s="93"/>
      <c r="AE2552" s="214"/>
      <c r="AF2552" s="93"/>
      <c r="AG2552" s="93"/>
      <c r="AH2552" s="93"/>
      <c r="AI2552" s="93"/>
      <c r="AJ2552" s="93"/>
    </row>
    <row r="2553" spans="30:36" ht="18">
      <c r="AD2553" s="93"/>
      <c r="AE2553" s="215"/>
      <c r="AF2553" s="93"/>
      <c r="AG2553" s="93"/>
      <c r="AH2553" s="93"/>
      <c r="AI2553" s="93"/>
      <c r="AJ2553" s="93"/>
    </row>
    <row r="2554" spans="30:36" ht="18">
      <c r="AD2554" s="93"/>
      <c r="AE2554" s="214"/>
      <c r="AF2554" s="93"/>
      <c r="AG2554" s="93"/>
      <c r="AH2554" s="93"/>
      <c r="AI2554" s="93"/>
      <c r="AJ2554" s="93"/>
    </row>
    <row r="2555" spans="30:36" ht="18">
      <c r="AD2555" s="93"/>
      <c r="AE2555" s="214"/>
      <c r="AF2555" s="93"/>
      <c r="AG2555" s="93"/>
      <c r="AH2555" s="93"/>
      <c r="AI2555" s="93"/>
      <c r="AJ2555" s="93"/>
    </row>
    <row r="2556" spans="30:36" ht="18">
      <c r="AD2556" s="93"/>
      <c r="AE2556" s="215"/>
      <c r="AF2556" s="93"/>
      <c r="AG2556" s="93"/>
      <c r="AH2556" s="93"/>
      <c r="AI2556" s="93"/>
      <c r="AJ2556" s="93"/>
    </row>
    <row r="2557" spans="30:36" ht="18">
      <c r="AD2557" s="93"/>
      <c r="AE2557" s="214"/>
      <c r="AF2557" s="93"/>
      <c r="AG2557" s="93"/>
      <c r="AH2557" s="93"/>
      <c r="AI2557" s="93"/>
      <c r="AJ2557" s="93"/>
    </row>
    <row r="2558" spans="30:36" ht="18">
      <c r="AD2558" s="93"/>
      <c r="AE2558" s="214"/>
      <c r="AF2558" s="93"/>
      <c r="AG2558" s="93"/>
      <c r="AH2558" s="93"/>
      <c r="AI2558" s="93"/>
      <c r="AJ2558" s="93"/>
    </row>
    <row r="2559" spans="30:36" ht="18">
      <c r="AD2559" s="93"/>
      <c r="AE2559" s="215"/>
      <c r="AF2559" s="93"/>
      <c r="AG2559" s="93"/>
      <c r="AH2559" s="93"/>
      <c r="AI2559" s="93"/>
      <c r="AJ2559" s="93"/>
    </row>
    <row r="2560" spans="30:36" ht="18">
      <c r="AD2560" s="93"/>
      <c r="AE2560" s="214"/>
      <c r="AF2560" s="93"/>
      <c r="AG2560" s="93"/>
      <c r="AH2560" s="93"/>
      <c r="AI2560" s="93"/>
      <c r="AJ2560" s="93"/>
    </row>
    <row r="2561" spans="30:36" ht="18">
      <c r="AD2561" s="93"/>
      <c r="AE2561" s="214"/>
      <c r="AF2561" s="93"/>
      <c r="AG2561" s="93"/>
      <c r="AH2561" s="93"/>
      <c r="AI2561" s="93"/>
      <c r="AJ2561" s="93"/>
    </row>
    <row r="2562" spans="30:36" ht="18">
      <c r="AD2562" s="93"/>
      <c r="AE2562" s="214"/>
      <c r="AF2562" s="93"/>
      <c r="AG2562" s="93"/>
      <c r="AH2562" s="93"/>
      <c r="AI2562" s="93"/>
      <c r="AJ2562" s="93"/>
    </row>
    <row r="2563" spans="30:36" ht="18">
      <c r="AD2563" s="93"/>
      <c r="AE2563" s="214"/>
      <c r="AF2563" s="93"/>
      <c r="AG2563" s="93"/>
      <c r="AH2563" s="93"/>
      <c r="AI2563" s="93"/>
      <c r="AJ2563" s="93"/>
    </row>
    <row r="2564" spans="30:36" ht="18">
      <c r="AD2564" s="93"/>
      <c r="AE2564" s="215"/>
      <c r="AF2564" s="93"/>
      <c r="AG2564" s="93"/>
      <c r="AH2564" s="93"/>
      <c r="AI2564" s="93"/>
      <c r="AJ2564" s="93"/>
    </row>
    <row r="2565" spans="30:36" ht="18">
      <c r="AD2565" s="93"/>
      <c r="AE2565" s="214"/>
      <c r="AF2565" s="93"/>
      <c r="AG2565" s="93"/>
      <c r="AH2565" s="93"/>
      <c r="AI2565" s="93"/>
      <c r="AJ2565" s="93"/>
    </row>
    <row r="2566" spans="30:36" ht="18">
      <c r="AD2566" s="93"/>
      <c r="AE2566" s="214"/>
      <c r="AF2566" s="93"/>
      <c r="AG2566" s="93"/>
      <c r="AH2566" s="93"/>
      <c r="AI2566" s="93"/>
      <c r="AJ2566" s="93"/>
    </row>
    <row r="2567" spans="30:36" ht="18">
      <c r="AD2567" s="93"/>
      <c r="AE2567" s="214"/>
      <c r="AF2567" s="93"/>
      <c r="AG2567" s="93"/>
      <c r="AH2567" s="93"/>
      <c r="AI2567" s="93"/>
      <c r="AJ2567" s="93"/>
    </row>
    <row r="2568" spans="30:36" ht="18">
      <c r="AD2568" s="93"/>
      <c r="AE2568" s="214"/>
      <c r="AF2568" s="93"/>
      <c r="AG2568" s="93"/>
      <c r="AH2568" s="93"/>
      <c r="AI2568" s="93"/>
      <c r="AJ2568" s="93"/>
    </row>
    <row r="2569" spans="30:36" ht="18">
      <c r="AD2569" s="93"/>
      <c r="AE2569" s="215"/>
      <c r="AF2569" s="93"/>
      <c r="AG2569" s="93"/>
      <c r="AH2569" s="93"/>
      <c r="AI2569" s="93"/>
      <c r="AJ2569" s="93"/>
    </row>
    <row r="2570" spans="30:36" ht="18">
      <c r="AD2570" s="93"/>
      <c r="AE2570" s="214"/>
      <c r="AF2570" s="93"/>
      <c r="AG2570" s="93"/>
      <c r="AH2570" s="93"/>
      <c r="AI2570" s="93"/>
      <c r="AJ2570" s="93"/>
    </row>
    <row r="2571" spans="30:36" ht="18">
      <c r="AD2571" s="93"/>
      <c r="AE2571" s="214"/>
      <c r="AF2571" s="93"/>
      <c r="AG2571" s="93"/>
      <c r="AH2571" s="93"/>
      <c r="AI2571" s="93"/>
      <c r="AJ2571" s="93"/>
    </row>
    <row r="2572" spans="30:36" ht="18">
      <c r="AD2572" s="93"/>
      <c r="AE2572" s="214"/>
      <c r="AF2572" s="93"/>
      <c r="AG2572" s="93"/>
      <c r="AH2572" s="93"/>
      <c r="AI2572" s="93"/>
      <c r="AJ2572" s="93"/>
    </row>
    <row r="2573" spans="30:36" ht="18">
      <c r="AD2573" s="93"/>
      <c r="AE2573" s="214"/>
      <c r="AF2573" s="93"/>
      <c r="AG2573" s="93"/>
      <c r="AH2573" s="93"/>
      <c r="AI2573" s="93"/>
      <c r="AJ2573" s="93"/>
    </row>
    <row r="2574" spans="30:36" ht="18">
      <c r="AD2574" s="93"/>
      <c r="AE2574" s="215"/>
      <c r="AF2574" s="93"/>
      <c r="AG2574" s="93"/>
      <c r="AH2574" s="93"/>
      <c r="AI2574" s="93"/>
      <c r="AJ2574" s="93"/>
    </row>
    <row r="2575" spans="30:36" ht="18">
      <c r="AD2575" s="93"/>
      <c r="AE2575" s="214"/>
      <c r="AF2575" s="93"/>
      <c r="AG2575" s="93"/>
      <c r="AH2575" s="93"/>
      <c r="AI2575" s="93"/>
      <c r="AJ2575" s="93"/>
    </row>
    <row r="2576" spans="30:36" ht="18">
      <c r="AD2576" s="93"/>
      <c r="AE2576" s="214"/>
      <c r="AF2576" s="93"/>
      <c r="AG2576" s="93"/>
      <c r="AH2576" s="93"/>
      <c r="AI2576" s="93"/>
      <c r="AJ2576" s="93"/>
    </row>
    <row r="2577" spans="30:36" ht="18">
      <c r="AD2577" s="93"/>
      <c r="AE2577" s="214"/>
      <c r="AF2577" s="93"/>
      <c r="AG2577" s="93"/>
      <c r="AH2577" s="93"/>
      <c r="AI2577" s="93"/>
      <c r="AJ2577" s="93"/>
    </row>
    <row r="2578" spans="30:36" ht="18">
      <c r="AD2578" s="93"/>
      <c r="AE2578" s="214"/>
      <c r="AF2578" s="93"/>
      <c r="AG2578" s="93"/>
      <c r="AH2578" s="93"/>
      <c r="AI2578" s="93"/>
      <c r="AJ2578" s="93"/>
    </row>
    <row r="2579" spans="30:36" ht="18">
      <c r="AD2579" s="93"/>
      <c r="AE2579" s="215"/>
      <c r="AF2579" s="93"/>
      <c r="AG2579" s="93"/>
      <c r="AH2579" s="93"/>
      <c r="AI2579" s="93"/>
      <c r="AJ2579" s="93"/>
    </row>
    <row r="2580" spans="30:36" ht="18">
      <c r="AD2580" s="93"/>
      <c r="AE2580" s="214"/>
      <c r="AF2580" s="93"/>
      <c r="AG2580" s="93"/>
      <c r="AH2580" s="93"/>
      <c r="AI2580" s="93"/>
      <c r="AJ2580" s="93"/>
    </row>
    <row r="2581" spans="30:36" ht="18">
      <c r="AD2581" s="93"/>
      <c r="AE2581" s="214"/>
      <c r="AF2581" s="93"/>
      <c r="AG2581" s="93"/>
      <c r="AH2581" s="93"/>
      <c r="AI2581" s="93"/>
      <c r="AJ2581" s="93"/>
    </row>
    <row r="2582" spans="30:36" ht="18">
      <c r="AD2582" s="93"/>
      <c r="AE2582" s="214"/>
      <c r="AF2582" s="93"/>
      <c r="AG2582" s="93"/>
      <c r="AH2582" s="93"/>
      <c r="AI2582" s="93"/>
      <c r="AJ2582" s="93"/>
    </row>
    <row r="2583" spans="30:36" ht="18">
      <c r="AD2583" s="93"/>
      <c r="AE2583" s="214"/>
      <c r="AF2583" s="93"/>
      <c r="AG2583" s="93"/>
      <c r="AH2583" s="93"/>
      <c r="AI2583" s="93"/>
      <c r="AJ2583" s="93"/>
    </row>
    <row r="2584" spans="30:36" ht="18">
      <c r="AD2584" s="93"/>
      <c r="AE2584" s="215"/>
      <c r="AF2584" s="93"/>
      <c r="AG2584" s="93"/>
      <c r="AH2584" s="93"/>
      <c r="AI2584" s="93"/>
      <c r="AJ2584" s="93"/>
    </row>
    <row r="2585" spans="30:36" ht="18">
      <c r="AD2585" s="93"/>
      <c r="AE2585" s="214"/>
      <c r="AF2585" s="93"/>
      <c r="AG2585" s="93"/>
      <c r="AH2585" s="93"/>
      <c r="AI2585" s="93"/>
      <c r="AJ2585" s="93"/>
    </row>
    <row r="2586" spans="30:36" ht="18">
      <c r="AD2586" s="93"/>
      <c r="AE2586" s="214"/>
      <c r="AF2586" s="93"/>
      <c r="AG2586" s="93"/>
      <c r="AH2586" s="93"/>
      <c r="AI2586" s="93"/>
      <c r="AJ2586" s="93"/>
    </row>
    <row r="2587" spans="30:36" ht="18">
      <c r="AD2587" s="93"/>
      <c r="AE2587" s="214"/>
      <c r="AF2587" s="93"/>
      <c r="AG2587" s="93"/>
      <c r="AH2587" s="93"/>
      <c r="AI2587" s="93"/>
      <c r="AJ2587" s="93"/>
    </row>
    <row r="2588" spans="30:36" ht="18">
      <c r="AD2588" s="93"/>
      <c r="AE2588" s="214"/>
      <c r="AF2588" s="93"/>
      <c r="AG2588" s="93"/>
      <c r="AH2588" s="93"/>
      <c r="AI2588" s="93"/>
      <c r="AJ2588" s="93"/>
    </row>
    <row r="2589" spans="30:36" ht="18">
      <c r="AD2589" s="93"/>
      <c r="AE2589" s="215"/>
      <c r="AF2589" s="93"/>
      <c r="AG2589" s="93"/>
      <c r="AH2589" s="93"/>
      <c r="AI2589" s="93"/>
      <c r="AJ2589" s="93"/>
    </row>
    <row r="2590" spans="30:36" ht="18">
      <c r="AD2590" s="93"/>
      <c r="AE2590" s="214"/>
      <c r="AF2590" s="93"/>
      <c r="AG2590" s="93"/>
      <c r="AH2590" s="93"/>
      <c r="AI2590" s="93"/>
      <c r="AJ2590" s="93"/>
    </row>
    <row r="2591" spans="30:36" ht="18">
      <c r="AD2591" s="93"/>
      <c r="AE2591" s="214"/>
      <c r="AF2591" s="93"/>
      <c r="AG2591" s="93"/>
      <c r="AH2591" s="93"/>
      <c r="AI2591" s="93"/>
      <c r="AJ2591" s="93"/>
    </row>
    <row r="2592" spans="30:36" ht="18">
      <c r="AD2592" s="93"/>
      <c r="AE2592" s="215"/>
      <c r="AF2592" s="93"/>
      <c r="AG2592" s="93"/>
      <c r="AH2592" s="93"/>
      <c r="AI2592" s="93"/>
      <c r="AJ2592" s="93"/>
    </row>
    <row r="2593" spans="30:36" ht="18">
      <c r="AD2593" s="93"/>
      <c r="AE2593" s="214"/>
      <c r="AF2593" s="93"/>
      <c r="AG2593" s="93"/>
      <c r="AH2593" s="93"/>
      <c r="AI2593" s="93"/>
      <c r="AJ2593" s="93"/>
    </row>
    <row r="2594" spans="30:36" ht="18">
      <c r="AD2594" s="93"/>
      <c r="AE2594" s="214"/>
      <c r="AF2594" s="93"/>
      <c r="AG2594" s="93"/>
      <c r="AH2594" s="93"/>
      <c r="AI2594" s="93"/>
      <c r="AJ2594" s="93"/>
    </row>
    <row r="2595" spans="30:36" ht="18">
      <c r="AD2595" s="93"/>
      <c r="AE2595" s="215"/>
      <c r="AF2595" s="93"/>
      <c r="AG2595" s="93"/>
      <c r="AH2595" s="93"/>
      <c r="AI2595" s="93"/>
      <c r="AJ2595" s="93"/>
    </row>
    <row r="2596" spans="30:36" ht="18">
      <c r="AD2596" s="93"/>
      <c r="AE2596" s="214"/>
      <c r="AF2596" s="93"/>
      <c r="AG2596" s="93"/>
      <c r="AH2596" s="93"/>
      <c r="AI2596" s="93"/>
      <c r="AJ2596" s="93"/>
    </row>
    <row r="2597" spans="30:36" ht="18">
      <c r="AD2597" s="93"/>
      <c r="AE2597" s="214"/>
      <c r="AF2597" s="93"/>
      <c r="AG2597" s="93"/>
      <c r="AH2597" s="93"/>
      <c r="AI2597" s="93"/>
      <c r="AJ2597" s="93"/>
    </row>
    <row r="2598" spans="30:36" ht="18">
      <c r="AD2598" s="93"/>
      <c r="AE2598" s="215"/>
      <c r="AF2598" s="93"/>
      <c r="AG2598" s="93"/>
      <c r="AH2598" s="93"/>
      <c r="AI2598" s="93"/>
      <c r="AJ2598" s="93"/>
    </row>
    <row r="2599" spans="30:36" ht="18">
      <c r="AD2599" s="93"/>
      <c r="AE2599" s="214"/>
      <c r="AF2599" s="93"/>
      <c r="AG2599" s="93"/>
      <c r="AH2599" s="93"/>
      <c r="AI2599" s="93"/>
      <c r="AJ2599" s="93"/>
    </row>
    <row r="2600" spans="30:36" ht="18">
      <c r="AD2600" s="93"/>
      <c r="AE2600" s="214"/>
      <c r="AF2600" s="93"/>
      <c r="AG2600" s="93"/>
      <c r="AH2600" s="93"/>
      <c r="AI2600" s="93"/>
      <c r="AJ2600" s="93"/>
    </row>
    <row r="2601" spans="30:36" ht="18">
      <c r="AD2601" s="93"/>
      <c r="AE2601" s="214"/>
      <c r="AF2601" s="93"/>
      <c r="AG2601" s="93"/>
      <c r="AH2601" s="93"/>
      <c r="AI2601" s="93"/>
      <c r="AJ2601" s="93"/>
    </row>
    <row r="2602" spans="30:36" ht="18">
      <c r="AD2602" s="93"/>
      <c r="AE2602" s="214"/>
      <c r="AF2602" s="93"/>
      <c r="AG2602" s="93"/>
      <c r="AH2602" s="93"/>
      <c r="AI2602" s="93"/>
      <c r="AJ2602" s="93"/>
    </row>
    <row r="2603" spans="30:36" ht="18">
      <c r="AD2603" s="93"/>
      <c r="AE2603" s="215"/>
      <c r="AF2603" s="93"/>
      <c r="AG2603" s="93"/>
      <c r="AH2603" s="93"/>
      <c r="AI2603" s="93"/>
      <c r="AJ2603" s="93"/>
    </row>
    <row r="2604" spans="30:36" ht="18">
      <c r="AD2604" s="93"/>
      <c r="AE2604" s="214"/>
      <c r="AF2604" s="93"/>
      <c r="AG2604" s="93"/>
      <c r="AH2604" s="93"/>
      <c r="AI2604" s="93"/>
      <c r="AJ2604" s="93"/>
    </row>
    <row r="2605" spans="30:36" ht="18">
      <c r="AD2605" s="93"/>
      <c r="AE2605" s="214"/>
      <c r="AF2605" s="93"/>
      <c r="AG2605" s="93"/>
      <c r="AH2605" s="93"/>
      <c r="AI2605" s="93"/>
      <c r="AJ2605" s="93"/>
    </row>
    <row r="2606" spans="30:36" ht="18">
      <c r="AD2606" s="93"/>
      <c r="AE2606" s="214"/>
      <c r="AF2606" s="93"/>
      <c r="AG2606" s="93"/>
      <c r="AH2606" s="93"/>
      <c r="AI2606" s="93"/>
      <c r="AJ2606" s="93"/>
    </row>
    <row r="2607" spans="30:36" ht="18">
      <c r="AD2607" s="93"/>
      <c r="AE2607" s="214"/>
      <c r="AF2607" s="93"/>
      <c r="AG2607" s="93"/>
      <c r="AH2607" s="93"/>
      <c r="AI2607" s="93"/>
      <c r="AJ2607" s="93"/>
    </row>
    <row r="2608" spans="30:36" ht="18">
      <c r="AD2608" s="93"/>
      <c r="AE2608" s="215"/>
      <c r="AF2608" s="93"/>
      <c r="AG2608" s="93"/>
      <c r="AH2608" s="93"/>
      <c r="AI2608" s="93"/>
      <c r="AJ2608" s="93"/>
    </row>
    <row r="2609" spans="30:36" ht="18">
      <c r="AD2609" s="93"/>
      <c r="AE2609" s="214"/>
      <c r="AF2609" s="93"/>
      <c r="AG2609" s="93"/>
      <c r="AH2609" s="93"/>
      <c r="AI2609" s="93"/>
      <c r="AJ2609" s="93"/>
    </row>
    <row r="2610" spans="30:36" ht="18">
      <c r="AD2610" s="93"/>
      <c r="AE2610" s="214"/>
      <c r="AF2610" s="93"/>
      <c r="AG2610" s="93"/>
      <c r="AH2610" s="93"/>
      <c r="AI2610" s="93"/>
      <c r="AJ2610" s="93"/>
    </row>
    <row r="2611" spans="30:36" ht="18">
      <c r="AD2611" s="93"/>
      <c r="AE2611" s="214"/>
      <c r="AF2611" s="93"/>
      <c r="AG2611" s="93"/>
      <c r="AH2611" s="93"/>
      <c r="AI2611" s="93"/>
      <c r="AJ2611" s="93"/>
    </row>
    <row r="2612" spans="30:36" ht="18">
      <c r="AD2612" s="93"/>
      <c r="AE2612" s="214"/>
      <c r="AF2612" s="93"/>
      <c r="AG2612" s="93"/>
      <c r="AH2612" s="93"/>
      <c r="AI2612" s="93"/>
      <c r="AJ2612" s="93"/>
    </row>
    <row r="2613" spans="30:36" ht="18">
      <c r="AD2613" s="93"/>
      <c r="AE2613" s="215"/>
      <c r="AF2613" s="93"/>
      <c r="AG2613" s="93"/>
      <c r="AH2613" s="93"/>
      <c r="AI2613" s="93"/>
      <c r="AJ2613" s="93"/>
    </row>
    <row r="2614" spans="30:36" ht="18">
      <c r="AD2614" s="93"/>
      <c r="AE2614" s="214"/>
      <c r="AF2614" s="93"/>
      <c r="AG2614" s="93"/>
      <c r="AH2614" s="93"/>
      <c r="AI2614" s="93"/>
      <c r="AJ2614" s="93"/>
    </row>
    <row r="2615" spans="30:36" ht="18">
      <c r="AD2615" s="93"/>
      <c r="AE2615" s="214"/>
      <c r="AF2615" s="93"/>
      <c r="AG2615" s="93"/>
      <c r="AH2615" s="93"/>
      <c r="AI2615" s="93"/>
      <c r="AJ2615" s="93"/>
    </row>
    <row r="2616" spans="30:36" ht="18">
      <c r="AD2616" s="93"/>
      <c r="AE2616" s="215"/>
      <c r="AF2616" s="93"/>
      <c r="AG2616" s="93"/>
      <c r="AH2616" s="93"/>
      <c r="AI2616" s="93"/>
      <c r="AJ2616" s="93"/>
    </row>
    <row r="2617" spans="30:36" ht="18">
      <c r="AD2617" s="93"/>
      <c r="AE2617" s="214"/>
      <c r="AF2617" s="93"/>
      <c r="AG2617" s="93"/>
      <c r="AH2617" s="93"/>
      <c r="AI2617" s="93"/>
      <c r="AJ2617" s="93"/>
    </row>
    <row r="2618" spans="30:36" ht="18">
      <c r="AD2618" s="93"/>
      <c r="AE2618" s="214"/>
      <c r="AF2618" s="93"/>
      <c r="AG2618" s="93"/>
      <c r="AH2618" s="93"/>
      <c r="AI2618" s="93"/>
      <c r="AJ2618" s="93"/>
    </row>
    <row r="2619" spans="30:36" ht="18">
      <c r="AD2619" s="93"/>
      <c r="AE2619" s="214"/>
      <c r="AF2619" s="93"/>
      <c r="AG2619" s="93"/>
      <c r="AH2619" s="93"/>
      <c r="AI2619" s="93"/>
      <c r="AJ2619" s="93"/>
    </row>
    <row r="2620" spans="30:36" ht="18">
      <c r="AD2620" s="93"/>
      <c r="AE2620" s="214"/>
      <c r="AF2620" s="93"/>
      <c r="AG2620" s="93"/>
      <c r="AH2620" s="93"/>
      <c r="AI2620" s="93"/>
      <c r="AJ2620" s="93"/>
    </row>
    <row r="2621" spans="30:36" ht="18">
      <c r="AD2621" s="93"/>
      <c r="AE2621" s="215"/>
      <c r="AF2621" s="93"/>
      <c r="AG2621" s="93"/>
      <c r="AH2621" s="93"/>
      <c r="AI2621" s="93"/>
      <c r="AJ2621" s="93"/>
    </row>
    <row r="2622" spans="30:36" ht="18">
      <c r="AD2622" s="93"/>
      <c r="AE2622" s="214"/>
      <c r="AF2622" s="93"/>
      <c r="AG2622" s="93"/>
      <c r="AH2622" s="93"/>
      <c r="AI2622" s="93"/>
      <c r="AJ2622" s="93"/>
    </row>
    <row r="2623" spans="30:36" ht="18">
      <c r="AD2623" s="93"/>
      <c r="AE2623" s="214"/>
      <c r="AF2623" s="93"/>
      <c r="AG2623" s="93"/>
      <c r="AH2623" s="93"/>
      <c r="AI2623" s="93"/>
      <c r="AJ2623" s="93"/>
    </row>
    <row r="2624" spans="30:36" ht="18">
      <c r="AD2624" s="93"/>
      <c r="AE2624" s="214"/>
      <c r="AF2624" s="93"/>
      <c r="AG2624" s="93"/>
      <c r="AH2624" s="93"/>
      <c r="AI2624" s="93"/>
      <c r="AJ2624" s="93"/>
    </row>
    <row r="2625" spans="30:36" ht="18">
      <c r="AD2625" s="93"/>
      <c r="AE2625" s="214"/>
      <c r="AF2625" s="93"/>
      <c r="AG2625" s="93"/>
      <c r="AH2625" s="93"/>
      <c r="AI2625" s="93"/>
      <c r="AJ2625" s="93"/>
    </row>
    <row r="2626" spans="30:36" ht="18">
      <c r="AD2626" s="93"/>
      <c r="AE2626" s="215"/>
      <c r="AF2626" s="93"/>
      <c r="AG2626" s="93"/>
      <c r="AH2626" s="93"/>
      <c r="AI2626" s="93"/>
      <c r="AJ2626" s="93"/>
    </row>
    <row r="2627" spans="30:36" ht="18">
      <c r="AD2627" s="93"/>
      <c r="AE2627" s="214"/>
      <c r="AF2627" s="93"/>
      <c r="AG2627" s="93"/>
      <c r="AH2627" s="93"/>
      <c r="AI2627" s="93"/>
      <c r="AJ2627" s="93"/>
    </row>
    <row r="2628" spans="30:36" ht="18">
      <c r="AD2628" s="93"/>
      <c r="AE2628" s="214"/>
      <c r="AF2628" s="93"/>
      <c r="AG2628" s="93"/>
      <c r="AH2628" s="93"/>
      <c r="AI2628" s="93"/>
      <c r="AJ2628" s="93"/>
    </row>
    <row r="2629" spans="30:36" ht="18">
      <c r="AD2629" s="93"/>
      <c r="AE2629" s="214"/>
      <c r="AF2629" s="93"/>
      <c r="AG2629" s="93"/>
      <c r="AH2629" s="93"/>
      <c r="AI2629" s="93"/>
      <c r="AJ2629" s="93"/>
    </row>
    <row r="2630" spans="30:36" ht="18">
      <c r="AD2630" s="93"/>
      <c r="AE2630" s="214"/>
      <c r="AF2630" s="93"/>
      <c r="AG2630" s="93"/>
      <c r="AH2630" s="93"/>
      <c r="AI2630" s="93"/>
      <c r="AJ2630" s="93"/>
    </row>
    <row r="2631" spans="30:36" ht="18">
      <c r="AD2631" s="93"/>
      <c r="AE2631" s="215"/>
      <c r="AF2631" s="93"/>
      <c r="AG2631" s="93"/>
      <c r="AH2631" s="93"/>
      <c r="AI2631" s="93"/>
      <c r="AJ2631" s="93"/>
    </row>
    <row r="2632" spans="30:36" ht="18">
      <c r="AD2632" s="93"/>
      <c r="AE2632" s="214"/>
      <c r="AF2632" s="93"/>
      <c r="AG2632" s="93"/>
      <c r="AH2632" s="93"/>
      <c r="AI2632" s="93"/>
      <c r="AJ2632" s="93"/>
    </row>
    <row r="2633" spans="30:36" ht="18">
      <c r="AD2633" s="93"/>
      <c r="AE2633" s="214"/>
      <c r="AF2633" s="93"/>
      <c r="AG2633" s="93"/>
      <c r="AH2633" s="93"/>
      <c r="AI2633" s="93"/>
      <c r="AJ2633" s="93"/>
    </row>
    <row r="2634" spans="30:36" ht="18">
      <c r="AD2634" s="93"/>
      <c r="AE2634" s="215"/>
      <c r="AF2634" s="93"/>
      <c r="AG2634" s="93"/>
      <c r="AH2634" s="93"/>
      <c r="AI2634" s="93"/>
      <c r="AJ2634" s="93"/>
    </row>
    <row r="2635" spans="30:36" ht="18">
      <c r="AD2635" s="93"/>
      <c r="AE2635" s="214"/>
      <c r="AF2635" s="93"/>
      <c r="AG2635" s="93"/>
      <c r="AH2635" s="93"/>
      <c r="AI2635" s="93"/>
      <c r="AJ2635" s="93"/>
    </row>
    <row r="2636" spans="30:36" ht="18">
      <c r="AD2636" s="93"/>
      <c r="AE2636" s="214"/>
      <c r="AF2636" s="93"/>
      <c r="AG2636" s="93"/>
      <c r="AH2636" s="93"/>
      <c r="AI2636" s="93"/>
      <c r="AJ2636" s="93"/>
    </row>
    <row r="2637" spans="30:36" ht="18">
      <c r="AD2637" s="93"/>
      <c r="AE2637" s="214"/>
      <c r="AF2637" s="93"/>
      <c r="AG2637" s="93"/>
      <c r="AH2637" s="93"/>
      <c r="AI2637" s="93"/>
      <c r="AJ2637" s="93"/>
    </row>
    <row r="2638" spans="30:36" ht="18">
      <c r="AD2638" s="93"/>
      <c r="AE2638" s="214"/>
      <c r="AF2638" s="93"/>
      <c r="AG2638" s="93"/>
      <c r="AH2638" s="93"/>
      <c r="AI2638" s="93"/>
      <c r="AJ2638" s="93"/>
    </row>
    <row r="2639" spans="30:36" ht="18">
      <c r="AD2639" s="93"/>
      <c r="AE2639" s="215"/>
      <c r="AF2639" s="93"/>
      <c r="AG2639" s="93"/>
      <c r="AH2639" s="93"/>
      <c r="AI2639" s="93"/>
      <c r="AJ2639" s="93"/>
    </row>
    <row r="2640" spans="30:36" ht="18">
      <c r="AD2640" s="93"/>
      <c r="AE2640" s="214"/>
      <c r="AF2640" s="93"/>
      <c r="AG2640" s="93"/>
      <c r="AH2640" s="93"/>
      <c r="AI2640" s="93"/>
      <c r="AJ2640" s="93"/>
    </row>
    <row r="2641" spans="30:36" ht="18">
      <c r="AD2641" s="93"/>
      <c r="AE2641" s="214"/>
      <c r="AF2641" s="93"/>
      <c r="AG2641" s="93"/>
      <c r="AH2641" s="93"/>
      <c r="AI2641" s="93"/>
      <c r="AJ2641" s="93"/>
    </row>
    <row r="2642" spans="30:36" ht="18">
      <c r="AD2642" s="93"/>
      <c r="AE2642" s="214"/>
      <c r="AF2642" s="93"/>
      <c r="AG2642" s="93"/>
      <c r="AH2642" s="93"/>
      <c r="AI2642" s="93"/>
      <c r="AJ2642" s="93"/>
    </row>
    <row r="2643" spans="30:36" ht="18">
      <c r="AD2643" s="93"/>
      <c r="AE2643" s="214"/>
      <c r="AF2643" s="93"/>
      <c r="AG2643" s="93"/>
      <c r="AH2643" s="93"/>
      <c r="AI2643" s="93"/>
      <c r="AJ2643" s="93"/>
    </row>
    <row r="2644" spans="30:36" ht="18">
      <c r="AD2644" s="93"/>
      <c r="AE2644" s="215"/>
      <c r="AF2644" s="93"/>
      <c r="AG2644" s="93"/>
      <c r="AH2644" s="93"/>
      <c r="AI2644" s="93"/>
      <c r="AJ2644" s="93"/>
    </row>
    <row r="2645" spans="30:36" ht="18">
      <c r="AD2645" s="93"/>
      <c r="AE2645" s="214"/>
      <c r="AF2645" s="93"/>
      <c r="AG2645" s="93"/>
      <c r="AH2645" s="93"/>
      <c r="AI2645" s="93"/>
      <c r="AJ2645" s="93"/>
    </row>
    <row r="2646" spans="30:36" ht="18">
      <c r="AD2646" s="93"/>
      <c r="AE2646" s="214"/>
      <c r="AF2646" s="93"/>
      <c r="AG2646" s="93"/>
      <c r="AH2646" s="93"/>
      <c r="AI2646" s="93"/>
      <c r="AJ2646" s="93"/>
    </row>
    <row r="2647" spans="30:36" ht="18">
      <c r="AD2647" s="93"/>
      <c r="AE2647" s="214"/>
      <c r="AF2647" s="93"/>
      <c r="AG2647" s="93"/>
      <c r="AH2647" s="93"/>
      <c r="AI2647" s="93"/>
      <c r="AJ2647" s="93"/>
    </row>
    <row r="2648" spans="30:36" ht="18">
      <c r="AD2648" s="93"/>
      <c r="AE2648" s="214"/>
      <c r="AF2648" s="93"/>
      <c r="AG2648" s="93"/>
      <c r="AH2648" s="93"/>
      <c r="AI2648" s="93"/>
      <c r="AJ2648" s="93"/>
    </row>
    <row r="2649" spans="30:36" ht="18">
      <c r="AD2649" s="93"/>
      <c r="AE2649" s="215"/>
      <c r="AF2649" s="93"/>
      <c r="AG2649" s="93"/>
      <c r="AH2649" s="93"/>
      <c r="AI2649" s="93"/>
      <c r="AJ2649" s="93"/>
    </row>
    <row r="2650" spans="30:36" ht="18">
      <c r="AD2650" s="93"/>
      <c r="AE2650" s="214"/>
      <c r="AF2650" s="93"/>
      <c r="AG2650" s="93"/>
      <c r="AH2650" s="93"/>
      <c r="AI2650" s="93"/>
      <c r="AJ2650" s="93"/>
    </row>
    <row r="2651" spans="30:36" ht="18">
      <c r="AD2651" s="93"/>
      <c r="AE2651" s="214"/>
      <c r="AF2651" s="93"/>
      <c r="AG2651" s="93"/>
      <c r="AH2651" s="93"/>
      <c r="AI2651" s="93"/>
      <c r="AJ2651" s="93"/>
    </row>
    <row r="2652" spans="30:36" ht="18">
      <c r="AD2652" s="93"/>
      <c r="AE2652" s="214"/>
      <c r="AF2652" s="93"/>
      <c r="AG2652" s="93"/>
      <c r="AH2652" s="93"/>
      <c r="AI2652" s="93"/>
      <c r="AJ2652" s="93"/>
    </row>
    <row r="2653" spans="30:36" ht="18">
      <c r="AD2653" s="93"/>
      <c r="AE2653" s="214"/>
      <c r="AF2653" s="93"/>
      <c r="AG2653" s="93"/>
      <c r="AH2653" s="93"/>
      <c r="AI2653" s="93"/>
      <c r="AJ2653" s="93"/>
    </row>
    <row r="2654" spans="30:36" ht="18">
      <c r="AD2654" s="93"/>
      <c r="AE2654" s="215"/>
      <c r="AF2654" s="93"/>
      <c r="AG2654" s="93"/>
      <c r="AH2654" s="93"/>
      <c r="AI2654" s="93"/>
      <c r="AJ2654" s="93"/>
    </row>
    <row r="2655" spans="30:36" ht="18">
      <c r="AD2655" s="93"/>
      <c r="AE2655" s="214"/>
      <c r="AF2655" s="93"/>
      <c r="AG2655" s="93"/>
      <c r="AH2655" s="93"/>
      <c r="AI2655" s="93"/>
      <c r="AJ2655" s="93"/>
    </row>
    <row r="2656" spans="30:36" ht="18">
      <c r="AD2656" s="93"/>
      <c r="AE2656" s="214"/>
      <c r="AF2656" s="93"/>
      <c r="AG2656" s="93"/>
      <c r="AH2656" s="93"/>
      <c r="AI2656" s="93"/>
      <c r="AJ2656" s="93"/>
    </row>
    <row r="2657" spans="30:36" ht="18">
      <c r="AD2657" s="93"/>
      <c r="AE2657" s="214"/>
      <c r="AF2657" s="93"/>
      <c r="AG2657" s="93"/>
      <c r="AH2657" s="93"/>
      <c r="AI2657" s="93"/>
      <c r="AJ2657" s="93"/>
    </row>
    <row r="2658" spans="30:36" ht="18">
      <c r="AD2658" s="93"/>
      <c r="AE2658" s="214"/>
      <c r="AF2658" s="93"/>
      <c r="AG2658" s="93"/>
      <c r="AH2658" s="93"/>
      <c r="AI2658" s="93"/>
      <c r="AJ2658" s="93"/>
    </row>
    <row r="2659" spans="30:36" ht="18">
      <c r="AD2659" s="93"/>
      <c r="AE2659" s="215"/>
      <c r="AF2659" s="93"/>
      <c r="AG2659" s="93"/>
      <c r="AH2659" s="93"/>
      <c r="AI2659" s="93"/>
      <c r="AJ2659" s="93"/>
    </row>
    <row r="2660" spans="30:36" ht="18">
      <c r="AD2660" s="93"/>
      <c r="AE2660" s="214"/>
      <c r="AF2660" s="93"/>
      <c r="AG2660" s="93"/>
      <c r="AH2660" s="93"/>
      <c r="AI2660" s="93"/>
      <c r="AJ2660" s="93"/>
    </row>
    <row r="2661" spans="30:36" ht="18">
      <c r="AD2661" s="93"/>
      <c r="AE2661" s="214"/>
      <c r="AF2661" s="93"/>
      <c r="AG2661" s="93"/>
      <c r="AH2661" s="93"/>
      <c r="AI2661" s="93"/>
      <c r="AJ2661" s="93"/>
    </row>
    <row r="2662" spans="30:36" ht="18">
      <c r="AD2662" s="93"/>
      <c r="AE2662" s="214"/>
      <c r="AF2662" s="93"/>
      <c r="AG2662" s="93"/>
      <c r="AH2662" s="93"/>
      <c r="AI2662" s="93"/>
      <c r="AJ2662" s="93"/>
    </row>
    <row r="2663" spans="30:36" ht="18">
      <c r="AD2663" s="93"/>
      <c r="AE2663" s="214"/>
      <c r="AF2663" s="93"/>
      <c r="AG2663" s="93"/>
      <c r="AH2663" s="93"/>
      <c r="AI2663" s="93"/>
      <c r="AJ2663" s="93"/>
    </row>
    <row r="2664" spans="30:36" ht="18">
      <c r="AD2664" s="93"/>
      <c r="AE2664" s="215"/>
      <c r="AF2664" s="93"/>
      <c r="AG2664" s="93"/>
      <c r="AH2664" s="93"/>
      <c r="AI2664" s="93"/>
      <c r="AJ2664" s="93"/>
    </row>
    <row r="2665" spans="30:36" ht="18">
      <c r="AD2665" s="93"/>
      <c r="AE2665" s="214"/>
      <c r="AF2665" s="93"/>
      <c r="AG2665" s="93"/>
      <c r="AH2665" s="93"/>
      <c r="AI2665" s="93"/>
      <c r="AJ2665" s="93"/>
    </row>
    <row r="2666" spans="30:36" ht="18">
      <c r="AD2666" s="93"/>
      <c r="AE2666" s="214"/>
      <c r="AF2666" s="93"/>
      <c r="AG2666" s="93"/>
      <c r="AH2666" s="93"/>
      <c r="AI2666" s="93"/>
      <c r="AJ2666" s="93"/>
    </row>
    <row r="2667" spans="30:36" ht="18">
      <c r="AD2667" s="93"/>
      <c r="AE2667" s="215"/>
      <c r="AF2667" s="93"/>
      <c r="AG2667" s="93"/>
      <c r="AH2667" s="93"/>
      <c r="AI2667" s="93"/>
      <c r="AJ2667" s="93"/>
    </row>
    <row r="2668" spans="30:36" ht="18">
      <c r="AD2668" s="93"/>
      <c r="AE2668" s="214"/>
      <c r="AF2668" s="93"/>
      <c r="AG2668" s="93"/>
      <c r="AH2668" s="93"/>
      <c r="AI2668" s="93"/>
      <c r="AJ2668" s="93"/>
    </row>
    <row r="2669" spans="30:36" ht="18">
      <c r="AD2669" s="93"/>
      <c r="AE2669" s="214"/>
      <c r="AF2669" s="93"/>
      <c r="AG2669" s="93"/>
      <c r="AH2669" s="93"/>
      <c r="AI2669" s="93"/>
      <c r="AJ2669" s="93"/>
    </row>
    <row r="2670" spans="30:36" ht="18">
      <c r="AD2670" s="93"/>
      <c r="AE2670" s="214"/>
      <c r="AF2670" s="93"/>
      <c r="AG2670" s="93"/>
      <c r="AH2670" s="93"/>
      <c r="AI2670" s="93"/>
      <c r="AJ2670" s="93"/>
    </row>
    <row r="2671" spans="30:36" ht="18">
      <c r="AD2671" s="93"/>
      <c r="AE2671" s="214"/>
      <c r="AF2671" s="93"/>
      <c r="AG2671" s="93"/>
      <c r="AH2671" s="93"/>
      <c r="AI2671" s="93"/>
      <c r="AJ2671" s="93"/>
    </row>
    <row r="2672" spans="30:36" ht="18">
      <c r="AD2672" s="93"/>
      <c r="AE2672" s="215"/>
      <c r="AF2672" s="93"/>
      <c r="AG2672" s="93"/>
      <c r="AH2672" s="93"/>
      <c r="AI2672" s="93"/>
      <c r="AJ2672" s="93"/>
    </row>
    <row r="2673" spans="30:36" ht="18">
      <c r="AD2673" s="93"/>
      <c r="AE2673" s="214"/>
      <c r="AF2673" s="93"/>
      <c r="AG2673" s="93"/>
      <c r="AH2673" s="93"/>
      <c r="AI2673" s="93"/>
      <c r="AJ2673" s="93"/>
    </row>
    <row r="2674" spans="30:36" ht="18">
      <c r="AD2674" s="93"/>
      <c r="AE2674" s="214"/>
      <c r="AF2674" s="93"/>
      <c r="AG2674" s="93"/>
      <c r="AH2674" s="93"/>
      <c r="AI2674" s="93"/>
      <c r="AJ2674" s="93"/>
    </row>
    <row r="2675" spans="30:36" ht="18">
      <c r="AD2675" s="93"/>
      <c r="AE2675" s="214"/>
      <c r="AF2675" s="93"/>
      <c r="AG2675" s="93"/>
      <c r="AH2675" s="93"/>
      <c r="AI2675" s="93"/>
      <c r="AJ2675" s="93"/>
    </row>
    <row r="2676" spans="30:36" ht="18">
      <c r="AD2676" s="93"/>
      <c r="AE2676" s="214"/>
      <c r="AF2676" s="93"/>
      <c r="AG2676" s="93"/>
      <c r="AH2676" s="93"/>
      <c r="AI2676" s="93"/>
      <c r="AJ2676" s="93"/>
    </row>
    <row r="2677" spans="30:36" ht="18">
      <c r="AD2677" s="93"/>
      <c r="AE2677" s="215"/>
      <c r="AF2677" s="93"/>
      <c r="AG2677" s="93"/>
      <c r="AH2677" s="93"/>
      <c r="AI2677" s="93"/>
      <c r="AJ2677" s="93"/>
    </row>
    <row r="2678" spans="30:36" ht="18">
      <c r="AD2678" s="93"/>
      <c r="AE2678" s="214"/>
      <c r="AF2678" s="93"/>
      <c r="AG2678" s="93"/>
      <c r="AH2678" s="93"/>
      <c r="AI2678" s="93"/>
      <c r="AJ2678" s="93"/>
    </row>
    <row r="2679" spans="30:36" ht="18">
      <c r="AD2679" s="93"/>
      <c r="AE2679" s="214"/>
      <c r="AF2679" s="93"/>
      <c r="AG2679" s="93"/>
      <c r="AH2679" s="93"/>
      <c r="AI2679" s="93"/>
      <c r="AJ2679" s="93"/>
    </row>
    <row r="2680" spans="30:36" ht="18">
      <c r="AD2680" s="93"/>
      <c r="AE2680" s="214"/>
      <c r="AF2680" s="93"/>
      <c r="AG2680" s="93"/>
      <c r="AH2680" s="93"/>
      <c r="AI2680" s="93"/>
      <c r="AJ2680" s="93"/>
    </row>
    <row r="2681" spans="30:36" ht="18">
      <c r="AD2681" s="93"/>
      <c r="AE2681" s="214"/>
      <c r="AF2681" s="93"/>
      <c r="AG2681" s="93"/>
      <c r="AH2681" s="93"/>
      <c r="AI2681" s="93"/>
      <c r="AJ2681" s="93"/>
    </row>
    <row r="2682" spans="30:36" ht="18">
      <c r="AD2682" s="93"/>
      <c r="AE2682" s="215"/>
      <c r="AF2682" s="93"/>
      <c r="AG2682" s="93"/>
      <c r="AH2682" s="93"/>
      <c r="AI2682" s="93"/>
      <c r="AJ2682" s="93"/>
    </row>
    <row r="2683" spans="30:36" ht="18">
      <c r="AD2683" s="93"/>
      <c r="AE2683" s="214"/>
      <c r="AF2683" s="93"/>
      <c r="AG2683" s="93"/>
      <c r="AH2683" s="93"/>
      <c r="AI2683" s="93"/>
      <c r="AJ2683" s="93"/>
    </row>
    <row r="2684" spans="30:36" ht="18">
      <c r="AD2684" s="93"/>
      <c r="AE2684" s="214"/>
      <c r="AF2684" s="93"/>
      <c r="AG2684" s="93"/>
      <c r="AH2684" s="93"/>
      <c r="AI2684" s="93"/>
      <c r="AJ2684" s="93"/>
    </row>
    <row r="2685" spans="30:36" ht="18">
      <c r="AD2685" s="93"/>
      <c r="AE2685" s="214"/>
      <c r="AF2685" s="93"/>
      <c r="AG2685" s="93"/>
      <c r="AH2685" s="93"/>
      <c r="AI2685" s="93"/>
      <c r="AJ2685" s="93"/>
    </row>
    <row r="2686" spans="30:36" ht="18">
      <c r="AD2686" s="93"/>
      <c r="AE2686" s="214"/>
      <c r="AF2686" s="93"/>
      <c r="AG2686" s="93"/>
      <c r="AH2686" s="93"/>
      <c r="AI2686" s="93"/>
      <c r="AJ2686" s="93"/>
    </row>
    <row r="2687" spans="30:36" ht="18">
      <c r="AD2687" s="93"/>
      <c r="AE2687" s="215"/>
      <c r="AF2687" s="93"/>
      <c r="AG2687" s="93"/>
      <c r="AH2687" s="93"/>
      <c r="AI2687" s="93"/>
      <c r="AJ2687" s="93"/>
    </row>
    <row r="2688" spans="30:36" ht="18">
      <c r="AD2688" s="93"/>
      <c r="AE2688" s="214"/>
      <c r="AF2688" s="93"/>
      <c r="AG2688" s="93"/>
      <c r="AH2688" s="93"/>
      <c r="AI2688" s="93"/>
      <c r="AJ2688" s="93"/>
    </row>
    <row r="2689" spans="30:36" ht="18">
      <c r="AD2689" s="93"/>
      <c r="AE2689" s="214"/>
      <c r="AF2689" s="93"/>
      <c r="AG2689" s="93"/>
      <c r="AH2689" s="93"/>
      <c r="AI2689" s="93"/>
      <c r="AJ2689" s="93"/>
    </row>
    <row r="2690" spans="30:36" ht="18">
      <c r="AD2690" s="93"/>
      <c r="AE2690" s="214"/>
      <c r="AF2690" s="93"/>
      <c r="AG2690" s="93"/>
      <c r="AH2690" s="93"/>
      <c r="AI2690" s="93"/>
      <c r="AJ2690" s="93"/>
    </row>
    <row r="2691" spans="30:36" ht="18">
      <c r="AD2691" s="93"/>
      <c r="AE2691" s="214"/>
      <c r="AF2691" s="93"/>
      <c r="AG2691" s="93"/>
      <c r="AH2691" s="93"/>
      <c r="AI2691" s="93"/>
      <c r="AJ2691" s="93"/>
    </row>
    <row r="2692" spans="30:36" ht="18">
      <c r="AD2692" s="93"/>
      <c r="AE2692" s="215"/>
      <c r="AF2692" s="93"/>
      <c r="AG2692" s="93"/>
      <c r="AH2692" s="93"/>
      <c r="AI2692" s="93"/>
      <c r="AJ2692" s="93"/>
    </row>
    <row r="2693" spans="30:36" ht="18">
      <c r="AD2693" s="93"/>
      <c r="AE2693" s="214"/>
      <c r="AF2693" s="93"/>
      <c r="AG2693" s="93"/>
      <c r="AH2693" s="93"/>
      <c r="AI2693" s="93"/>
      <c r="AJ2693" s="93"/>
    </row>
    <row r="2694" spans="30:36" ht="18">
      <c r="AD2694" s="93"/>
      <c r="AE2694" s="214"/>
      <c r="AF2694" s="93"/>
      <c r="AG2694" s="93"/>
      <c r="AH2694" s="93"/>
      <c r="AI2694" s="93"/>
      <c r="AJ2694" s="93"/>
    </row>
    <row r="2695" spans="30:36" ht="18">
      <c r="AD2695" s="93"/>
      <c r="AE2695" s="214"/>
      <c r="AF2695" s="93"/>
      <c r="AG2695" s="93"/>
      <c r="AH2695" s="93"/>
      <c r="AI2695" s="93"/>
      <c r="AJ2695" s="93"/>
    </row>
    <row r="2696" spans="30:36" ht="18">
      <c r="AD2696" s="93"/>
      <c r="AE2696" s="214"/>
      <c r="AF2696" s="93"/>
      <c r="AG2696" s="93"/>
      <c r="AH2696" s="93"/>
      <c r="AI2696" s="93"/>
      <c r="AJ2696" s="93"/>
    </row>
    <row r="2697" spans="30:36" ht="18">
      <c r="AD2697" s="93"/>
      <c r="AE2697" s="215"/>
      <c r="AF2697" s="93"/>
      <c r="AG2697" s="93"/>
      <c r="AH2697" s="93"/>
      <c r="AI2697" s="93"/>
      <c r="AJ2697" s="93"/>
    </row>
    <row r="2698" spans="30:36" ht="18">
      <c r="AD2698" s="93"/>
      <c r="AE2698" s="214"/>
      <c r="AF2698" s="93"/>
      <c r="AG2698" s="93"/>
      <c r="AH2698" s="93"/>
      <c r="AI2698" s="93"/>
      <c r="AJ2698" s="93"/>
    </row>
    <row r="2699" spans="30:36" ht="18">
      <c r="AD2699" s="93"/>
      <c r="AE2699" s="214"/>
      <c r="AF2699" s="93"/>
      <c r="AG2699" s="93"/>
      <c r="AH2699" s="93"/>
      <c r="AI2699" s="93"/>
      <c r="AJ2699" s="93"/>
    </row>
    <row r="2700" spans="30:36" ht="18">
      <c r="AD2700" s="93"/>
      <c r="AE2700" s="214"/>
      <c r="AF2700" s="93"/>
      <c r="AG2700" s="93"/>
      <c r="AH2700" s="93"/>
      <c r="AI2700" s="93"/>
      <c r="AJ2700" s="93"/>
    </row>
    <row r="2701" spans="30:36" ht="18">
      <c r="AD2701" s="93"/>
      <c r="AE2701" s="214"/>
      <c r="AF2701" s="93"/>
      <c r="AG2701" s="93"/>
      <c r="AH2701" s="93"/>
      <c r="AI2701" s="93"/>
      <c r="AJ2701" s="93"/>
    </row>
    <row r="2702" spans="30:36" ht="18">
      <c r="AD2702" s="93"/>
      <c r="AE2702" s="215"/>
      <c r="AF2702" s="93"/>
      <c r="AG2702" s="93"/>
      <c r="AH2702" s="93"/>
      <c r="AI2702" s="93"/>
      <c r="AJ2702" s="93"/>
    </row>
    <row r="2703" spans="30:36" ht="18">
      <c r="AD2703" s="93"/>
      <c r="AE2703" s="214"/>
      <c r="AF2703" s="93"/>
      <c r="AG2703" s="93"/>
      <c r="AH2703" s="93"/>
      <c r="AI2703" s="93"/>
      <c r="AJ2703" s="93"/>
    </row>
    <row r="2704" spans="30:36" ht="18">
      <c r="AD2704" s="93"/>
      <c r="AE2704" s="214"/>
      <c r="AF2704" s="93"/>
      <c r="AG2704" s="93"/>
      <c r="AH2704" s="93"/>
      <c r="AI2704" s="93"/>
      <c r="AJ2704" s="93"/>
    </row>
    <row r="2705" spans="30:36" ht="18">
      <c r="AD2705" s="93"/>
      <c r="AE2705" s="215"/>
      <c r="AF2705" s="93"/>
      <c r="AG2705" s="93"/>
      <c r="AH2705" s="93"/>
      <c r="AI2705" s="93"/>
      <c r="AJ2705" s="93"/>
    </row>
    <row r="2706" spans="30:36" ht="18">
      <c r="AD2706" s="93"/>
      <c r="AE2706" s="214"/>
      <c r="AF2706" s="93"/>
      <c r="AG2706" s="93"/>
      <c r="AH2706" s="93"/>
      <c r="AI2706" s="93"/>
      <c r="AJ2706" s="93"/>
    </row>
    <row r="2707" spans="30:36" ht="18">
      <c r="AD2707" s="93"/>
      <c r="AE2707" s="214"/>
      <c r="AF2707" s="93"/>
      <c r="AG2707" s="93"/>
      <c r="AH2707" s="93"/>
      <c r="AI2707" s="93"/>
      <c r="AJ2707" s="93"/>
    </row>
    <row r="2708" spans="30:36" ht="18">
      <c r="AD2708" s="93"/>
      <c r="AE2708" s="214"/>
      <c r="AF2708" s="93"/>
      <c r="AG2708" s="93"/>
      <c r="AH2708" s="93"/>
      <c r="AI2708" s="93"/>
      <c r="AJ2708" s="93"/>
    </row>
    <row r="2709" spans="30:36" ht="18">
      <c r="AD2709" s="93"/>
      <c r="AE2709" s="214"/>
      <c r="AF2709" s="93"/>
      <c r="AG2709" s="93"/>
      <c r="AH2709" s="93"/>
      <c r="AI2709" s="93"/>
      <c r="AJ2709" s="93"/>
    </row>
    <row r="2710" spans="30:36" ht="18">
      <c r="AD2710" s="93"/>
      <c r="AE2710" s="214"/>
      <c r="AF2710" s="93"/>
      <c r="AG2710" s="93"/>
      <c r="AH2710" s="93"/>
      <c r="AI2710" s="93"/>
      <c r="AJ2710" s="93"/>
    </row>
    <row r="2711" spans="30:36" ht="18">
      <c r="AD2711" s="93"/>
      <c r="AE2711" s="214"/>
      <c r="AF2711" s="93"/>
      <c r="AG2711" s="93"/>
      <c r="AH2711" s="93"/>
      <c r="AI2711" s="93"/>
      <c r="AJ2711" s="93"/>
    </row>
    <row r="2712" spans="30:36" ht="18">
      <c r="AD2712" s="93"/>
      <c r="AE2712" s="214"/>
      <c r="AF2712" s="93"/>
      <c r="AG2712" s="93"/>
      <c r="AH2712" s="93"/>
      <c r="AI2712" s="93"/>
      <c r="AJ2712" s="93"/>
    </row>
    <row r="2713" spans="30:36" ht="18">
      <c r="AD2713" s="93"/>
      <c r="AE2713" s="214"/>
      <c r="AF2713" s="93"/>
      <c r="AG2713" s="93"/>
      <c r="AH2713" s="93"/>
      <c r="AI2713" s="93"/>
      <c r="AJ2713" s="93"/>
    </row>
    <row r="2714" spans="30:36" ht="18">
      <c r="AD2714" s="93"/>
      <c r="AE2714" s="214"/>
      <c r="AF2714" s="93"/>
      <c r="AG2714" s="93"/>
      <c r="AH2714" s="93"/>
      <c r="AI2714" s="93"/>
      <c r="AJ2714" s="93"/>
    </row>
    <row r="2715" spans="30:36" ht="18">
      <c r="AD2715" s="93"/>
      <c r="AE2715" s="214"/>
      <c r="AF2715" s="93"/>
      <c r="AG2715" s="93"/>
      <c r="AH2715" s="93"/>
      <c r="AI2715" s="93"/>
      <c r="AJ2715" s="93"/>
    </row>
    <row r="2716" spans="30:36" ht="18">
      <c r="AD2716" s="93"/>
      <c r="AE2716" s="214"/>
      <c r="AF2716" s="93"/>
      <c r="AG2716" s="93"/>
      <c r="AH2716" s="93"/>
      <c r="AI2716" s="93"/>
      <c r="AJ2716" s="93"/>
    </row>
    <row r="2717" spans="30:36" ht="18">
      <c r="AD2717" s="93"/>
      <c r="AE2717" s="214"/>
      <c r="AF2717" s="93"/>
      <c r="AG2717" s="93"/>
      <c r="AH2717" s="93"/>
      <c r="AI2717" s="93"/>
      <c r="AJ2717" s="93"/>
    </row>
    <row r="2718" spans="30:36" ht="18">
      <c r="AD2718" s="93"/>
      <c r="AE2718" s="214"/>
      <c r="AF2718" s="93"/>
      <c r="AG2718" s="93"/>
      <c r="AH2718" s="93"/>
      <c r="AI2718" s="93"/>
      <c r="AJ2718" s="93"/>
    </row>
    <row r="2719" spans="30:36" ht="18">
      <c r="AD2719" s="93"/>
      <c r="AE2719" s="214"/>
      <c r="AF2719" s="93"/>
      <c r="AG2719" s="93"/>
      <c r="AH2719" s="93"/>
      <c r="AI2719" s="93"/>
      <c r="AJ2719" s="93"/>
    </row>
    <row r="2720" spans="30:36" ht="18">
      <c r="AD2720" s="93"/>
      <c r="AE2720" s="215"/>
      <c r="AF2720" s="93"/>
      <c r="AG2720" s="93"/>
      <c r="AH2720" s="93"/>
      <c r="AI2720" s="93"/>
      <c r="AJ2720" s="93"/>
    </row>
    <row r="2721" spans="30:36" ht="18">
      <c r="AD2721" s="93"/>
      <c r="AE2721" s="214"/>
      <c r="AF2721" s="93"/>
      <c r="AG2721" s="93"/>
      <c r="AH2721" s="93"/>
      <c r="AI2721" s="93"/>
      <c r="AJ2721" s="93"/>
    </row>
    <row r="2722" spans="30:36" ht="18">
      <c r="AD2722" s="93"/>
      <c r="AE2722" s="214"/>
      <c r="AF2722" s="93"/>
      <c r="AG2722" s="93"/>
      <c r="AH2722" s="93"/>
      <c r="AI2722" s="93"/>
      <c r="AJ2722" s="93"/>
    </row>
    <row r="2723" spans="30:36" ht="18">
      <c r="AD2723" s="93"/>
      <c r="AE2723" s="214"/>
      <c r="AF2723" s="93"/>
      <c r="AG2723" s="93"/>
      <c r="AH2723" s="93"/>
      <c r="AI2723" s="93"/>
      <c r="AJ2723" s="93"/>
    </row>
    <row r="2724" spans="30:36" ht="18">
      <c r="AD2724" s="93"/>
      <c r="AE2724" s="214"/>
      <c r="AF2724" s="93"/>
      <c r="AG2724" s="93"/>
      <c r="AH2724" s="93"/>
      <c r="AI2724" s="93"/>
      <c r="AJ2724" s="93"/>
    </row>
    <row r="2725" spans="30:36" ht="18">
      <c r="AD2725" s="93"/>
      <c r="AE2725" s="214"/>
      <c r="AF2725" s="93"/>
      <c r="AG2725" s="93"/>
      <c r="AH2725" s="93"/>
      <c r="AI2725" s="93"/>
      <c r="AJ2725" s="93"/>
    </row>
    <row r="2726" spans="30:36" ht="18">
      <c r="AD2726" s="93"/>
      <c r="AE2726" s="214"/>
      <c r="AF2726" s="93"/>
      <c r="AG2726" s="93"/>
      <c r="AH2726" s="93"/>
      <c r="AI2726" s="93"/>
      <c r="AJ2726" s="93"/>
    </row>
    <row r="2727" spans="30:36" ht="18">
      <c r="AD2727" s="93"/>
      <c r="AE2727" s="214"/>
      <c r="AF2727" s="93"/>
      <c r="AG2727" s="93"/>
      <c r="AH2727" s="93"/>
      <c r="AI2727" s="93"/>
      <c r="AJ2727" s="93"/>
    </row>
    <row r="2728" spans="30:36" ht="18">
      <c r="AD2728" s="93"/>
      <c r="AE2728" s="214"/>
      <c r="AF2728" s="93"/>
      <c r="AG2728" s="93"/>
      <c r="AH2728" s="93"/>
      <c r="AI2728" s="93"/>
      <c r="AJ2728" s="93"/>
    </row>
    <row r="2729" spans="30:36" ht="18">
      <c r="AD2729" s="93"/>
      <c r="AE2729" s="214"/>
      <c r="AF2729" s="93"/>
      <c r="AG2729" s="93"/>
      <c r="AH2729" s="93"/>
      <c r="AI2729" s="93"/>
      <c r="AJ2729" s="93"/>
    </row>
    <row r="2730" spans="30:36" ht="18">
      <c r="AD2730" s="93"/>
      <c r="AE2730" s="214"/>
      <c r="AF2730" s="93"/>
      <c r="AG2730" s="93"/>
      <c r="AH2730" s="93"/>
      <c r="AI2730" s="93"/>
      <c r="AJ2730" s="93"/>
    </row>
    <row r="2731" spans="30:36" ht="18">
      <c r="AD2731" s="93"/>
      <c r="AE2731" s="214"/>
      <c r="AF2731" s="93"/>
      <c r="AG2731" s="93"/>
      <c r="AH2731" s="93"/>
      <c r="AI2731" s="93"/>
      <c r="AJ2731" s="93"/>
    </row>
    <row r="2732" spans="30:36" ht="18">
      <c r="AD2732" s="93"/>
      <c r="AE2732" s="214"/>
      <c r="AF2732" s="93"/>
      <c r="AG2732" s="93"/>
      <c r="AH2732" s="93"/>
      <c r="AI2732" s="93"/>
      <c r="AJ2732" s="93"/>
    </row>
    <row r="2733" spans="30:36" ht="18">
      <c r="AD2733" s="93"/>
      <c r="AE2733" s="214"/>
      <c r="AF2733" s="93"/>
      <c r="AG2733" s="93"/>
      <c r="AH2733" s="93"/>
      <c r="AI2733" s="93"/>
      <c r="AJ2733" s="93"/>
    </row>
    <row r="2734" spans="30:36" ht="18">
      <c r="AD2734" s="93"/>
      <c r="AE2734" s="214"/>
      <c r="AF2734" s="93"/>
      <c r="AG2734" s="93"/>
      <c r="AH2734" s="93"/>
      <c r="AI2734" s="93"/>
      <c r="AJ2734" s="93"/>
    </row>
    <row r="2735" spans="30:36" ht="18">
      <c r="AD2735" s="93"/>
      <c r="AE2735" s="215"/>
      <c r="AF2735" s="93"/>
      <c r="AG2735" s="93"/>
      <c r="AH2735" s="93"/>
      <c r="AI2735" s="93"/>
      <c r="AJ2735" s="93"/>
    </row>
    <row r="2736" spans="30:36" ht="18">
      <c r="AD2736" s="93"/>
      <c r="AE2736" s="214"/>
      <c r="AF2736" s="93"/>
      <c r="AG2736" s="93"/>
      <c r="AH2736" s="93"/>
      <c r="AI2736" s="93"/>
      <c r="AJ2736" s="93"/>
    </row>
    <row r="2737" spans="30:36" ht="18">
      <c r="AD2737" s="93"/>
      <c r="AE2737" s="214"/>
      <c r="AF2737" s="93"/>
      <c r="AG2737" s="93"/>
      <c r="AH2737" s="93"/>
      <c r="AI2737" s="93"/>
      <c r="AJ2737" s="93"/>
    </row>
    <row r="2738" spans="30:36" ht="18">
      <c r="AD2738" s="93"/>
      <c r="AE2738" s="214"/>
      <c r="AF2738" s="93"/>
      <c r="AG2738" s="93"/>
      <c r="AH2738" s="93"/>
      <c r="AI2738" s="93"/>
      <c r="AJ2738" s="93"/>
    </row>
    <row r="2739" spans="30:36" ht="18">
      <c r="AD2739" s="93"/>
      <c r="AE2739" s="214"/>
      <c r="AF2739" s="93"/>
      <c r="AG2739" s="93"/>
      <c r="AH2739" s="93"/>
      <c r="AI2739" s="93"/>
      <c r="AJ2739" s="93"/>
    </row>
    <row r="2740" spans="30:36" ht="18">
      <c r="AD2740" s="93"/>
      <c r="AE2740" s="214"/>
      <c r="AF2740" s="93"/>
      <c r="AG2740" s="93"/>
      <c r="AH2740" s="93"/>
      <c r="AI2740" s="93"/>
      <c r="AJ2740" s="93"/>
    </row>
    <row r="2741" spans="30:36" ht="18">
      <c r="AD2741" s="93"/>
      <c r="AE2741" s="214"/>
      <c r="AF2741" s="93"/>
      <c r="AG2741" s="93"/>
      <c r="AH2741" s="93"/>
      <c r="AI2741" s="93"/>
      <c r="AJ2741" s="93"/>
    </row>
    <row r="2742" spans="30:36" ht="18">
      <c r="AD2742" s="93"/>
      <c r="AE2742" s="214"/>
      <c r="AF2742" s="93"/>
      <c r="AG2742" s="93"/>
      <c r="AH2742" s="93"/>
      <c r="AI2742" s="93"/>
      <c r="AJ2742" s="93"/>
    </row>
    <row r="2743" spans="30:36" ht="18">
      <c r="AD2743" s="93"/>
      <c r="AE2743" s="214"/>
      <c r="AF2743" s="93"/>
      <c r="AG2743" s="93"/>
      <c r="AH2743" s="93"/>
      <c r="AI2743" s="93"/>
      <c r="AJ2743" s="93"/>
    </row>
    <row r="2744" spans="30:36" ht="18">
      <c r="AD2744" s="93"/>
      <c r="AE2744" s="214"/>
      <c r="AF2744" s="93"/>
      <c r="AG2744" s="93"/>
      <c r="AH2744" s="93"/>
      <c r="AI2744" s="93"/>
      <c r="AJ2744" s="93"/>
    </row>
    <row r="2745" spans="30:36" ht="18">
      <c r="AD2745" s="93"/>
      <c r="AE2745" s="214"/>
      <c r="AF2745" s="93"/>
      <c r="AG2745" s="93"/>
      <c r="AH2745" s="93"/>
      <c r="AI2745" s="93"/>
      <c r="AJ2745" s="93"/>
    </row>
    <row r="2746" spans="30:36" ht="18">
      <c r="AD2746" s="93"/>
      <c r="AE2746" s="214"/>
      <c r="AF2746" s="93"/>
      <c r="AG2746" s="93"/>
      <c r="AH2746" s="93"/>
      <c r="AI2746" s="93"/>
      <c r="AJ2746" s="93"/>
    </row>
    <row r="2747" spans="30:36" ht="18">
      <c r="AD2747" s="93"/>
      <c r="AE2747" s="214"/>
      <c r="AF2747" s="93"/>
      <c r="AG2747" s="93"/>
      <c r="AH2747" s="93"/>
      <c r="AI2747" s="93"/>
      <c r="AJ2747" s="93"/>
    </row>
    <row r="2748" spans="30:36" ht="18">
      <c r="AD2748" s="93"/>
      <c r="AE2748" s="214"/>
      <c r="AF2748" s="93"/>
      <c r="AG2748" s="93"/>
      <c r="AH2748" s="93"/>
      <c r="AI2748" s="93"/>
      <c r="AJ2748" s="93"/>
    </row>
    <row r="2749" spans="30:36" ht="18">
      <c r="AD2749" s="93"/>
      <c r="AE2749" s="214"/>
      <c r="AF2749" s="93"/>
      <c r="AG2749" s="93"/>
      <c r="AH2749" s="93"/>
      <c r="AI2749" s="93"/>
      <c r="AJ2749" s="93"/>
    </row>
    <row r="2750" spans="30:36" ht="18">
      <c r="AD2750" s="93"/>
      <c r="AE2750" s="214"/>
      <c r="AF2750" s="93"/>
      <c r="AG2750" s="93"/>
      <c r="AH2750" s="93"/>
      <c r="AI2750" s="93"/>
      <c r="AJ2750" s="93"/>
    </row>
    <row r="2751" spans="30:36" ht="18">
      <c r="AD2751" s="93"/>
      <c r="AE2751" s="214"/>
      <c r="AF2751" s="93"/>
      <c r="AG2751" s="93"/>
      <c r="AH2751" s="93"/>
      <c r="AI2751" s="93"/>
      <c r="AJ2751" s="93"/>
    </row>
    <row r="2752" spans="30:36" ht="18">
      <c r="AD2752" s="93"/>
      <c r="AE2752" s="214"/>
      <c r="AF2752" s="93"/>
      <c r="AG2752" s="93"/>
      <c r="AH2752" s="93"/>
      <c r="AI2752" s="93"/>
      <c r="AJ2752" s="93"/>
    </row>
    <row r="2753" spans="30:36" ht="18">
      <c r="AD2753" s="93"/>
      <c r="AE2753" s="214"/>
      <c r="AF2753" s="93"/>
      <c r="AG2753" s="93"/>
      <c r="AH2753" s="93"/>
      <c r="AI2753" s="93"/>
      <c r="AJ2753" s="93"/>
    </row>
    <row r="2754" spans="30:36" ht="18">
      <c r="AD2754" s="93"/>
      <c r="AE2754" s="214"/>
      <c r="AF2754" s="93"/>
      <c r="AG2754" s="93"/>
      <c r="AH2754" s="93"/>
      <c r="AI2754" s="93"/>
      <c r="AJ2754" s="93"/>
    </row>
    <row r="2755" spans="30:36" ht="18">
      <c r="AD2755" s="93"/>
      <c r="AE2755" s="214"/>
      <c r="AF2755" s="93"/>
      <c r="AG2755" s="93"/>
      <c r="AH2755" s="93"/>
      <c r="AI2755" s="93"/>
      <c r="AJ2755" s="93"/>
    </row>
    <row r="2756" spans="30:36" ht="18">
      <c r="AD2756" s="93"/>
      <c r="AE2756" s="214"/>
      <c r="AF2756" s="93"/>
      <c r="AG2756" s="93"/>
      <c r="AH2756" s="93"/>
      <c r="AI2756" s="93"/>
      <c r="AJ2756" s="93"/>
    </row>
    <row r="2757" spans="30:36" ht="18">
      <c r="AD2757" s="93"/>
      <c r="AE2757" s="214"/>
      <c r="AF2757" s="93"/>
      <c r="AG2757" s="93"/>
      <c r="AH2757" s="93"/>
      <c r="AI2757" s="93"/>
      <c r="AJ2757" s="93"/>
    </row>
    <row r="2758" spans="30:36" ht="18">
      <c r="AD2758" s="93"/>
      <c r="AE2758" s="214"/>
      <c r="AF2758" s="93"/>
      <c r="AG2758" s="93"/>
      <c r="AH2758" s="93"/>
      <c r="AI2758" s="93"/>
      <c r="AJ2758" s="93"/>
    </row>
    <row r="2759" spans="30:36" ht="18">
      <c r="AD2759" s="93"/>
      <c r="AE2759" s="214"/>
      <c r="AF2759" s="93"/>
      <c r="AG2759" s="93"/>
      <c r="AH2759" s="93"/>
      <c r="AI2759" s="93"/>
      <c r="AJ2759" s="93"/>
    </row>
    <row r="2760" spans="30:36" ht="18">
      <c r="AD2760" s="93"/>
      <c r="AE2760" s="214"/>
      <c r="AF2760" s="93"/>
      <c r="AG2760" s="93"/>
      <c r="AH2760" s="93"/>
      <c r="AI2760" s="93"/>
      <c r="AJ2760" s="93"/>
    </row>
    <row r="2761" spans="30:36" ht="18">
      <c r="AD2761" s="93"/>
      <c r="AE2761" s="214"/>
      <c r="AF2761" s="93"/>
      <c r="AG2761" s="93"/>
      <c r="AH2761" s="93"/>
      <c r="AI2761" s="93"/>
      <c r="AJ2761" s="93"/>
    </row>
    <row r="2762" spans="30:36" ht="18">
      <c r="AD2762" s="93"/>
      <c r="AE2762" s="214"/>
      <c r="AF2762" s="93"/>
      <c r="AG2762" s="93"/>
      <c r="AH2762" s="93"/>
      <c r="AI2762" s="93"/>
      <c r="AJ2762" s="93"/>
    </row>
    <row r="2763" spans="30:36" ht="18">
      <c r="AD2763" s="93"/>
      <c r="AE2763" s="214"/>
      <c r="AF2763" s="93"/>
      <c r="AG2763" s="93"/>
      <c r="AH2763" s="93"/>
      <c r="AI2763" s="93"/>
      <c r="AJ2763" s="93"/>
    </row>
    <row r="2764" spans="30:36" ht="18">
      <c r="AD2764" s="93"/>
      <c r="AE2764" s="214"/>
      <c r="AF2764" s="93"/>
      <c r="AG2764" s="93"/>
      <c r="AH2764" s="93"/>
      <c r="AI2764" s="93"/>
      <c r="AJ2764" s="93"/>
    </row>
    <row r="2765" spans="30:36" ht="18">
      <c r="AD2765" s="93"/>
      <c r="AE2765" s="214"/>
      <c r="AF2765" s="93"/>
      <c r="AG2765" s="93"/>
      <c r="AH2765" s="93"/>
      <c r="AI2765" s="93"/>
      <c r="AJ2765" s="93"/>
    </row>
    <row r="2766" spans="30:36" ht="18">
      <c r="AD2766" s="93"/>
      <c r="AE2766" s="214"/>
      <c r="AF2766" s="93"/>
      <c r="AG2766" s="93"/>
      <c r="AH2766" s="93"/>
      <c r="AI2766" s="93"/>
      <c r="AJ2766" s="93"/>
    </row>
    <row r="2767" spans="30:36" ht="18">
      <c r="AD2767" s="93"/>
      <c r="AE2767" s="214"/>
      <c r="AF2767" s="93"/>
      <c r="AG2767" s="93"/>
      <c r="AH2767" s="93"/>
      <c r="AI2767" s="93"/>
      <c r="AJ2767" s="93"/>
    </row>
    <row r="2768" spans="30:36" ht="18">
      <c r="AD2768" s="93"/>
      <c r="AE2768" s="214"/>
      <c r="AF2768" s="93"/>
      <c r="AG2768" s="93"/>
      <c r="AH2768" s="93"/>
      <c r="AI2768" s="93"/>
      <c r="AJ2768" s="93"/>
    </row>
    <row r="2769" spans="30:36" ht="18">
      <c r="AD2769" s="93"/>
      <c r="AE2769" s="214"/>
      <c r="AF2769" s="93"/>
      <c r="AG2769" s="93"/>
      <c r="AH2769" s="93"/>
      <c r="AI2769" s="93"/>
      <c r="AJ2769" s="93"/>
    </row>
    <row r="2770" spans="30:36" ht="18">
      <c r="AD2770" s="93"/>
      <c r="AE2770" s="214"/>
      <c r="AF2770" s="93"/>
      <c r="AG2770" s="93"/>
      <c r="AH2770" s="93"/>
      <c r="AI2770" s="93"/>
      <c r="AJ2770" s="93"/>
    </row>
    <row r="2771" spans="30:36" ht="18">
      <c r="AD2771" s="93"/>
      <c r="AE2771" s="214"/>
      <c r="AF2771" s="93"/>
      <c r="AG2771" s="93"/>
      <c r="AH2771" s="93"/>
      <c r="AI2771" s="93"/>
      <c r="AJ2771" s="93"/>
    </row>
    <row r="2772" spans="30:36" ht="18">
      <c r="AD2772" s="93"/>
      <c r="AE2772" s="214"/>
      <c r="AF2772" s="93"/>
      <c r="AG2772" s="93"/>
      <c r="AH2772" s="93"/>
      <c r="AI2772" s="93"/>
      <c r="AJ2772" s="93"/>
    </row>
    <row r="2773" spans="30:36" ht="18">
      <c r="AD2773" s="93"/>
      <c r="AE2773" s="214"/>
      <c r="AF2773" s="93"/>
      <c r="AG2773" s="93"/>
      <c r="AH2773" s="93"/>
      <c r="AI2773" s="93"/>
      <c r="AJ2773" s="93"/>
    </row>
    <row r="2774" spans="30:36" ht="18">
      <c r="AD2774" s="93"/>
      <c r="AE2774" s="214"/>
      <c r="AF2774" s="93"/>
      <c r="AG2774" s="93"/>
      <c r="AH2774" s="93"/>
      <c r="AI2774" s="93"/>
      <c r="AJ2774" s="93"/>
    </row>
    <row r="2775" spans="30:36" ht="18">
      <c r="AD2775" s="93"/>
      <c r="AE2775" s="214"/>
      <c r="AF2775" s="93"/>
      <c r="AG2775" s="93"/>
      <c r="AH2775" s="93"/>
      <c r="AI2775" s="93"/>
      <c r="AJ2775" s="93"/>
    </row>
    <row r="2776" spans="30:36" ht="18">
      <c r="AD2776" s="93"/>
      <c r="AE2776" s="214"/>
      <c r="AF2776" s="93"/>
      <c r="AG2776" s="93"/>
      <c r="AH2776" s="93"/>
      <c r="AI2776" s="93"/>
      <c r="AJ2776" s="93"/>
    </row>
    <row r="2777" spans="30:36" ht="18">
      <c r="AD2777" s="93"/>
      <c r="AE2777" s="214"/>
      <c r="AF2777" s="93"/>
      <c r="AG2777" s="93"/>
      <c r="AH2777" s="93"/>
      <c r="AI2777" s="93"/>
      <c r="AJ2777" s="93"/>
    </row>
    <row r="2778" spans="30:36" ht="18">
      <c r="AD2778" s="93"/>
      <c r="AE2778" s="214"/>
      <c r="AF2778" s="93"/>
      <c r="AG2778" s="93"/>
      <c r="AH2778" s="93"/>
      <c r="AI2778" s="93"/>
      <c r="AJ2778" s="93"/>
    </row>
    <row r="2779" spans="30:36" ht="18">
      <c r="AD2779" s="93"/>
      <c r="AE2779" s="214"/>
      <c r="AF2779" s="93"/>
      <c r="AG2779" s="93"/>
      <c r="AH2779" s="93"/>
      <c r="AI2779" s="93"/>
      <c r="AJ2779" s="93"/>
    </row>
    <row r="2780" spans="30:36" ht="18">
      <c r="AD2780" s="93"/>
      <c r="AE2780" s="214"/>
      <c r="AF2780" s="93"/>
      <c r="AG2780" s="93"/>
      <c r="AH2780" s="93"/>
      <c r="AI2780" s="93"/>
      <c r="AJ2780" s="93"/>
    </row>
    <row r="2781" spans="30:36" ht="18">
      <c r="AD2781" s="93"/>
      <c r="AE2781" s="215"/>
      <c r="AF2781" s="93"/>
      <c r="AG2781" s="93"/>
      <c r="AH2781" s="93"/>
      <c r="AI2781" s="93"/>
      <c r="AJ2781" s="93"/>
    </row>
    <row r="2782" spans="30:36" ht="18">
      <c r="AD2782" s="93"/>
      <c r="AE2782" s="215"/>
      <c r="AF2782" s="93"/>
      <c r="AG2782" s="93"/>
      <c r="AH2782" s="93"/>
      <c r="AI2782" s="93"/>
      <c r="AJ2782" s="93"/>
    </row>
    <row r="2783" spans="30:36" ht="18">
      <c r="AD2783" s="93"/>
      <c r="AE2783" s="214"/>
      <c r="AF2783" s="93"/>
      <c r="AG2783" s="93"/>
      <c r="AH2783" s="93"/>
      <c r="AI2783" s="93"/>
      <c r="AJ2783" s="93"/>
    </row>
    <row r="2784" spans="30:36" ht="18">
      <c r="AD2784" s="93"/>
      <c r="AE2784" s="214"/>
      <c r="AF2784" s="93"/>
      <c r="AG2784" s="93"/>
      <c r="AH2784" s="93"/>
      <c r="AI2784" s="93"/>
      <c r="AJ2784" s="93"/>
    </row>
    <row r="2785" spans="30:36" ht="18">
      <c r="AD2785" s="93"/>
      <c r="AE2785" s="214"/>
      <c r="AF2785" s="93"/>
      <c r="AG2785" s="93"/>
      <c r="AH2785" s="93"/>
      <c r="AI2785" s="93"/>
      <c r="AJ2785" s="93"/>
    </row>
    <row r="2786" spans="30:36" ht="18">
      <c r="AD2786" s="93"/>
      <c r="AE2786" s="214"/>
      <c r="AF2786" s="93"/>
      <c r="AG2786" s="93"/>
      <c r="AH2786" s="93"/>
      <c r="AI2786" s="93"/>
      <c r="AJ2786" s="93"/>
    </row>
    <row r="2787" spans="30:36" ht="18">
      <c r="AD2787" s="93"/>
      <c r="AE2787" s="215"/>
      <c r="AF2787" s="93"/>
      <c r="AG2787" s="93"/>
      <c r="AH2787" s="93"/>
      <c r="AI2787" s="93"/>
      <c r="AJ2787" s="93"/>
    </row>
    <row r="2788" spans="30:36" ht="18">
      <c r="AD2788" s="93"/>
      <c r="AE2788" s="214"/>
      <c r="AF2788" s="93"/>
      <c r="AG2788" s="93"/>
      <c r="AH2788" s="93"/>
      <c r="AI2788" s="93"/>
      <c r="AJ2788" s="93"/>
    </row>
    <row r="2789" spans="30:36" ht="18">
      <c r="AD2789" s="93"/>
      <c r="AE2789" s="214"/>
      <c r="AF2789" s="93"/>
      <c r="AG2789" s="93"/>
      <c r="AH2789" s="93"/>
      <c r="AI2789" s="93"/>
      <c r="AJ2789" s="93"/>
    </row>
    <row r="2790" spans="30:36" ht="18">
      <c r="AD2790" s="93"/>
      <c r="AE2790" s="214"/>
      <c r="AF2790" s="93"/>
      <c r="AG2790" s="93"/>
      <c r="AH2790" s="93"/>
      <c r="AI2790" s="93"/>
      <c r="AJ2790" s="93"/>
    </row>
    <row r="2791" spans="30:36" ht="18">
      <c r="AD2791" s="93"/>
      <c r="AE2791" s="214"/>
      <c r="AF2791" s="93"/>
      <c r="AG2791" s="93"/>
      <c r="AH2791" s="93"/>
      <c r="AI2791" s="93"/>
      <c r="AJ2791" s="93"/>
    </row>
    <row r="2792" spans="30:36" ht="18">
      <c r="AD2792" s="93"/>
      <c r="AE2792" s="215"/>
      <c r="AF2792" s="93"/>
      <c r="AG2792" s="93"/>
      <c r="AH2792" s="93"/>
      <c r="AI2792" s="93"/>
      <c r="AJ2792" s="93"/>
    </row>
    <row r="2793" spans="30:36" ht="18">
      <c r="AD2793" s="93"/>
      <c r="AE2793" s="214"/>
      <c r="AF2793" s="93"/>
      <c r="AG2793" s="93"/>
      <c r="AH2793" s="93"/>
      <c r="AI2793" s="93"/>
      <c r="AJ2793" s="93"/>
    </row>
    <row r="2794" spans="30:36" ht="18">
      <c r="AD2794" s="93"/>
      <c r="AE2794" s="214"/>
      <c r="AF2794" s="93"/>
      <c r="AG2794" s="93"/>
      <c r="AH2794" s="93"/>
      <c r="AI2794" s="93"/>
      <c r="AJ2794" s="93"/>
    </row>
    <row r="2795" spans="30:36" ht="18">
      <c r="AD2795" s="93"/>
      <c r="AE2795" s="214"/>
      <c r="AF2795" s="93"/>
      <c r="AG2795" s="93"/>
      <c r="AH2795" s="93"/>
      <c r="AI2795" s="93"/>
      <c r="AJ2795" s="93"/>
    </row>
    <row r="2796" spans="30:36" ht="18">
      <c r="AD2796" s="93"/>
      <c r="AE2796" s="214"/>
      <c r="AF2796" s="93"/>
      <c r="AG2796" s="93"/>
      <c r="AH2796" s="93"/>
      <c r="AI2796" s="93"/>
      <c r="AJ2796" s="93"/>
    </row>
    <row r="2797" spans="30:36" ht="18">
      <c r="AD2797" s="93"/>
      <c r="AE2797" s="215"/>
      <c r="AF2797" s="93"/>
      <c r="AG2797" s="93"/>
      <c r="AH2797" s="93"/>
      <c r="AI2797" s="93"/>
      <c r="AJ2797" s="93"/>
    </row>
    <row r="2798" spans="30:36" ht="18">
      <c r="AD2798" s="93"/>
      <c r="AE2798" s="214"/>
      <c r="AF2798" s="93"/>
      <c r="AG2798" s="93"/>
      <c r="AH2798" s="93"/>
      <c r="AI2798" s="93"/>
      <c r="AJ2798" s="93"/>
    </row>
    <row r="2799" spans="30:36" ht="18">
      <c r="AD2799" s="93"/>
      <c r="AE2799" s="214"/>
      <c r="AF2799" s="93"/>
      <c r="AG2799" s="93"/>
      <c r="AH2799" s="93"/>
      <c r="AI2799" s="93"/>
      <c r="AJ2799" s="93"/>
    </row>
    <row r="2800" spans="30:36" ht="18">
      <c r="AD2800" s="93"/>
      <c r="AE2800" s="214"/>
      <c r="AF2800" s="93"/>
      <c r="AG2800" s="93"/>
      <c r="AH2800" s="93"/>
      <c r="AI2800" s="93"/>
      <c r="AJ2800" s="93"/>
    </row>
    <row r="2801" spans="30:36" ht="18">
      <c r="AD2801" s="93"/>
      <c r="AE2801" s="214"/>
      <c r="AF2801" s="93"/>
      <c r="AG2801" s="93"/>
      <c r="AH2801" s="93"/>
      <c r="AI2801" s="93"/>
      <c r="AJ2801" s="93"/>
    </row>
    <row r="2802" spans="30:36" ht="18">
      <c r="AD2802" s="93"/>
      <c r="AE2802" s="215"/>
      <c r="AF2802" s="93"/>
      <c r="AG2802" s="93"/>
      <c r="AH2802" s="93"/>
      <c r="AI2802" s="93"/>
      <c r="AJ2802" s="93"/>
    </row>
    <row r="2803" spans="30:36" ht="18">
      <c r="AD2803" s="93"/>
      <c r="AE2803" s="214"/>
      <c r="AF2803" s="93"/>
      <c r="AG2803" s="93"/>
      <c r="AH2803" s="93"/>
      <c r="AI2803" s="93"/>
      <c r="AJ2803" s="93"/>
    </row>
    <row r="2804" spans="30:36" ht="18">
      <c r="AD2804" s="93"/>
      <c r="AE2804" s="214"/>
      <c r="AF2804" s="93"/>
      <c r="AG2804" s="93"/>
      <c r="AH2804" s="93"/>
      <c r="AI2804" s="93"/>
      <c r="AJ2804" s="93"/>
    </row>
    <row r="2805" spans="30:36" ht="18">
      <c r="AD2805" s="93"/>
      <c r="AE2805" s="214"/>
      <c r="AF2805" s="93"/>
      <c r="AG2805" s="93"/>
      <c r="AH2805" s="93"/>
      <c r="AI2805" s="93"/>
      <c r="AJ2805" s="93"/>
    </row>
    <row r="2806" spans="30:36" ht="18">
      <c r="AD2806" s="93"/>
      <c r="AE2806" s="214"/>
      <c r="AF2806" s="93"/>
      <c r="AG2806" s="93"/>
      <c r="AH2806" s="93"/>
      <c r="AI2806" s="93"/>
      <c r="AJ2806" s="93"/>
    </row>
    <row r="2807" spans="30:36" ht="18">
      <c r="AD2807" s="93"/>
      <c r="AE2807" s="215"/>
      <c r="AF2807" s="93"/>
      <c r="AG2807" s="93"/>
      <c r="AH2807" s="93"/>
      <c r="AI2807" s="93"/>
      <c r="AJ2807" s="93"/>
    </row>
    <row r="2808" spans="30:36" ht="18">
      <c r="AD2808" s="93"/>
      <c r="AE2808" s="214"/>
      <c r="AF2808" s="93"/>
      <c r="AG2808" s="93"/>
      <c r="AH2808" s="93"/>
      <c r="AI2808" s="93"/>
      <c r="AJ2808" s="93"/>
    </row>
    <row r="2809" spans="30:36" ht="18">
      <c r="AD2809" s="93"/>
      <c r="AE2809" s="214"/>
      <c r="AF2809" s="93"/>
      <c r="AG2809" s="93"/>
      <c r="AH2809" s="93"/>
      <c r="AI2809" s="93"/>
      <c r="AJ2809" s="93"/>
    </row>
    <row r="2810" spans="30:36" ht="18">
      <c r="AD2810" s="93"/>
      <c r="AE2810" s="214"/>
      <c r="AF2810" s="93"/>
      <c r="AG2810" s="93"/>
      <c r="AH2810" s="93"/>
      <c r="AI2810" s="93"/>
      <c r="AJ2810" s="93"/>
    </row>
    <row r="2811" spans="30:36" ht="18">
      <c r="AD2811" s="93"/>
      <c r="AE2811" s="214"/>
      <c r="AF2811" s="93"/>
      <c r="AG2811" s="93"/>
      <c r="AH2811" s="93"/>
      <c r="AI2811" s="93"/>
      <c r="AJ2811" s="93"/>
    </row>
    <row r="2812" spans="30:36" ht="18">
      <c r="AD2812" s="93"/>
      <c r="AE2812" s="215"/>
      <c r="AF2812" s="93"/>
      <c r="AG2812" s="93"/>
      <c r="AH2812" s="93"/>
      <c r="AI2812" s="93"/>
      <c r="AJ2812" s="93"/>
    </row>
    <row r="2813" spans="30:36" ht="18">
      <c r="AD2813" s="93"/>
      <c r="AE2813" s="214"/>
      <c r="AF2813" s="93"/>
      <c r="AG2813" s="93"/>
      <c r="AH2813" s="93"/>
      <c r="AI2813" s="93"/>
      <c r="AJ2813" s="93"/>
    </row>
    <row r="2814" spans="30:36" ht="18">
      <c r="AD2814" s="93"/>
      <c r="AE2814" s="214"/>
      <c r="AF2814" s="93"/>
      <c r="AG2814" s="93"/>
      <c r="AH2814" s="93"/>
      <c r="AI2814" s="93"/>
      <c r="AJ2814" s="93"/>
    </row>
    <row r="2815" spans="30:36" ht="18">
      <c r="AD2815" s="93"/>
      <c r="AE2815" s="214"/>
      <c r="AF2815" s="93"/>
      <c r="AG2815" s="93"/>
      <c r="AH2815" s="93"/>
      <c r="AI2815" s="93"/>
      <c r="AJ2815" s="93"/>
    </row>
    <row r="2816" spans="30:36" ht="18">
      <c r="AD2816" s="93"/>
      <c r="AE2816" s="214"/>
      <c r="AF2816" s="93"/>
      <c r="AG2816" s="93"/>
      <c r="AH2816" s="93"/>
      <c r="AI2816" s="93"/>
      <c r="AJ2816" s="93"/>
    </row>
    <row r="2817" spans="30:36" ht="18">
      <c r="AD2817" s="93"/>
      <c r="AE2817" s="215"/>
      <c r="AF2817" s="93"/>
      <c r="AG2817" s="93"/>
      <c r="AH2817" s="93"/>
      <c r="AI2817" s="93"/>
      <c r="AJ2817" s="93"/>
    </row>
    <row r="2818" spans="30:36" ht="18">
      <c r="AD2818" s="93"/>
      <c r="AE2818" s="214"/>
      <c r="AF2818" s="93"/>
      <c r="AG2818" s="93"/>
      <c r="AH2818" s="93"/>
      <c r="AI2818" s="93"/>
      <c r="AJ2818" s="93"/>
    </row>
    <row r="2819" spans="30:36" ht="18">
      <c r="AD2819" s="93"/>
      <c r="AE2819" s="214"/>
      <c r="AF2819" s="93"/>
      <c r="AG2819" s="93"/>
      <c r="AH2819" s="93"/>
      <c r="AI2819" s="93"/>
      <c r="AJ2819" s="93"/>
    </row>
    <row r="2820" spans="30:36" ht="18">
      <c r="AD2820" s="93"/>
      <c r="AE2820" s="214"/>
      <c r="AF2820" s="93"/>
      <c r="AG2820" s="93"/>
      <c r="AH2820" s="93"/>
      <c r="AI2820" s="93"/>
      <c r="AJ2820" s="93"/>
    </row>
    <row r="2821" spans="30:36" ht="18">
      <c r="AD2821" s="93"/>
      <c r="AE2821" s="214"/>
      <c r="AF2821" s="93"/>
      <c r="AG2821" s="93"/>
      <c r="AH2821" s="93"/>
      <c r="AI2821" s="93"/>
      <c r="AJ2821" s="93"/>
    </row>
    <row r="2822" spans="30:36" ht="18">
      <c r="AD2822" s="93"/>
      <c r="AE2822" s="215"/>
      <c r="AF2822" s="93"/>
      <c r="AG2822" s="93"/>
      <c r="AH2822" s="93"/>
      <c r="AI2822" s="93"/>
      <c r="AJ2822" s="93"/>
    </row>
    <row r="2823" spans="30:36" ht="18">
      <c r="AD2823" s="93"/>
      <c r="AE2823" s="214"/>
      <c r="AF2823" s="93"/>
      <c r="AG2823" s="93"/>
      <c r="AH2823" s="93"/>
      <c r="AI2823" s="93"/>
      <c r="AJ2823" s="93"/>
    </row>
    <row r="2824" spans="30:36" ht="18">
      <c r="AD2824" s="93"/>
      <c r="AE2824" s="214"/>
      <c r="AF2824" s="93"/>
      <c r="AG2824" s="93"/>
      <c r="AH2824" s="93"/>
      <c r="AI2824" s="93"/>
      <c r="AJ2824" s="93"/>
    </row>
    <row r="2825" spans="30:36" ht="18">
      <c r="AD2825" s="93"/>
      <c r="AE2825" s="214"/>
      <c r="AF2825" s="93"/>
      <c r="AG2825" s="93"/>
      <c r="AH2825" s="93"/>
      <c r="AI2825" s="93"/>
      <c r="AJ2825" s="93"/>
    </row>
    <row r="2826" spans="30:36" ht="18">
      <c r="AD2826" s="93"/>
      <c r="AE2826" s="214"/>
      <c r="AF2826" s="93"/>
      <c r="AG2826" s="93"/>
      <c r="AH2826" s="93"/>
      <c r="AI2826" s="93"/>
      <c r="AJ2826" s="93"/>
    </row>
    <row r="2827" spans="30:36" ht="18">
      <c r="AD2827" s="93"/>
      <c r="AE2827" s="214"/>
      <c r="AF2827" s="93"/>
      <c r="AG2827" s="93"/>
      <c r="AH2827" s="93"/>
      <c r="AI2827" s="93"/>
      <c r="AJ2827" s="93"/>
    </row>
    <row r="2828" spans="30:36" ht="18">
      <c r="AD2828" s="93"/>
      <c r="AE2828" s="214"/>
      <c r="AF2828" s="93"/>
      <c r="AG2828" s="93"/>
      <c r="AH2828" s="93"/>
      <c r="AI2828" s="93"/>
      <c r="AJ2828" s="93"/>
    </row>
    <row r="2829" spans="30:36" ht="18">
      <c r="AD2829" s="93"/>
      <c r="AE2829" s="214"/>
      <c r="AF2829" s="93"/>
      <c r="AG2829" s="93"/>
      <c r="AH2829" s="93"/>
      <c r="AI2829" s="93"/>
      <c r="AJ2829" s="93"/>
    </row>
    <row r="2830" spans="30:36" ht="18">
      <c r="AD2830" s="93"/>
      <c r="AE2830" s="214"/>
      <c r="AF2830" s="93"/>
      <c r="AG2830" s="93"/>
      <c r="AH2830" s="93"/>
      <c r="AI2830" s="93"/>
      <c r="AJ2830" s="93"/>
    </row>
    <row r="2831" spans="30:36" ht="18">
      <c r="AD2831" s="93"/>
      <c r="AE2831" s="214"/>
      <c r="AF2831" s="93"/>
      <c r="AG2831" s="93"/>
      <c r="AH2831" s="93"/>
      <c r="AI2831" s="93"/>
      <c r="AJ2831" s="93"/>
    </row>
    <row r="2832" spans="30:36" ht="18">
      <c r="AD2832" s="93"/>
      <c r="AE2832" s="214"/>
      <c r="AF2832" s="93"/>
      <c r="AG2832" s="93"/>
      <c r="AH2832" s="93"/>
      <c r="AI2832" s="93"/>
      <c r="AJ2832" s="93"/>
    </row>
    <row r="2833" spans="30:36" ht="18">
      <c r="AD2833" s="93"/>
      <c r="AE2833" s="215"/>
      <c r="AF2833" s="93"/>
      <c r="AG2833" s="93"/>
      <c r="AH2833" s="93"/>
      <c r="AI2833" s="93"/>
      <c r="AJ2833" s="93"/>
    </row>
    <row r="2834" spans="30:36" ht="18">
      <c r="AD2834" s="93"/>
      <c r="AE2834" s="214"/>
      <c r="AF2834" s="93"/>
      <c r="AG2834" s="93"/>
      <c r="AH2834" s="93"/>
      <c r="AI2834" s="93"/>
      <c r="AJ2834" s="93"/>
    </row>
    <row r="2835" spans="30:36" ht="18">
      <c r="AD2835" s="93"/>
      <c r="AE2835" s="214"/>
      <c r="AF2835" s="93"/>
      <c r="AG2835" s="93"/>
      <c r="AH2835" s="93"/>
      <c r="AI2835" s="93"/>
      <c r="AJ2835" s="93"/>
    </row>
    <row r="2836" spans="30:36" ht="18">
      <c r="AD2836" s="93"/>
      <c r="AE2836" s="214"/>
      <c r="AF2836" s="93"/>
      <c r="AG2836" s="93"/>
      <c r="AH2836" s="93"/>
      <c r="AI2836" s="93"/>
      <c r="AJ2836" s="93"/>
    </row>
    <row r="2837" spans="30:36" ht="18">
      <c r="AD2837" s="93"/>
      <c r="AE2837" s="214"/>
      <c r="AF2837" s="93"/>
      <c r="AG2837" s="93"/>
      <c r="AH2837" s="93"/>
      <c r="AI2837" s="93"/>
      <c r="AJ2837" s="93"/>
    </row>
    <row r="2838" spans="30:36" ht="18">
      <c r="AD2838" s="93"/>
      <c r="AE2838" s="215"/>
      <c r="AF2838" s="93"/>
      <c r="AG2838" s="93"/>
      <c r="AH2838" s="93"/>
      <c r="AI2838" s="93"/>
      <c r="AJ2838" s="93"/>
    </row>
    <row r="2839" spans="30:36" ht="18">
      <c r="AD2839" s="93"/>
      <c r="AE2839" s="214"/>
      <c r="AF2839" s="93"/>
      <c r="AG2839" s="93"/>
      <c r="AH2839" s="93"/>
      <c r="AI2839" s="93"/>
      <c r="AJ2839" s="93"/>
    </row>
    <row r="2840" spans="30:36" ht="18">
      <c r="AD2840" s="93"/>
      <c r="AE2840" s="214"/>
      <c r="AF2840" s="93"/>
      <c r="AG2840" s="93"/>
      <c r="AH2840" s="93"/>
      <c r="AI2840" s="93"/>
      <c r="AJ2840" s="93"/>
    </row>
    <row r="2841" spans="30:36" ht="18">
      <c r="AD2841" s="93"/>
      <c r="AE2841" s="214"/>
      <c r="AF2841" s="93"/>
      <c r="AG2841" s="93"/>
      <c r="AH2841" s="93"/>
      <c r="AI2841" s="93"/>
      <c r="AJ2841" s="93"/>
    </row>
    <row r="2842" spans="30:36" ht="18">
      <c r="AD2842" s="93"/>
      <c r="AE2842" s="214"/>
      <c r="AF2842" s="93"/>
      <c r="AG2842" s="93"/>
      <c r="AH2842" s="93"/>
      <c r="AI2842" s="93"/>
      <c r="AJ2842" s="93"/>
    </row>
    <row r="2843" spans="30:36" ht="18">
      <c r="AD2843" s="93"/>
      <c r="AE2843" s="214"/>
      <c r="AF2843" s="93"/>
      <c r="AG2843" s="93"/>
      <c r="AH2843" s="93"/>
      <c r="AI2843" s="93"/>
      <c r="AJ2843" s="93"/>
    </row>
    <row r="2844" spans="30:36" ht="18">
      <c r="AD2844" s="93"/>
      <c r="AE2844" s="214"/>
      <c r="AF2844" s="93"/>
      <c r="AG2844" s="93"/>
      <c r="AH2844" s="93"/>
      <c r="AI2844" s="93"/>
      <c r="AJ2844" s="93"/>
    </row>
    <row r="2845" spans="30:36" ht="18">
      <c r="AD2845" s="93"/>
      <c r="AE2845" s="214"/>
      <c r="AF2845" s="93"/>
      <c r="AG2845" s="93"/>
      <c r="AH2845" s="93"/>
      <c r="AI2845" s="93"/>
      <c r="AJ2845" s="93"/>
    </row>
    <row r="2846" spans="30:36" ht="18">
      <c r="AD2846" s="93"/>
      <c r="AE2846" s="214"/>
      <c r="AF2846" s="93"/>
      <c r="AG2846" s="93"/>
      <c r="AH2846" s="93"/>
      <c r="AI2846" s="93"/>
      <c r="AJ2846" s="93"/>
    </row>
    <row r="2847" spans="30:36" ht="18">
      <c r="AD2847" s="93"/>
      <c r="AE2847" s="214"/>
      <c r="AF2847" s="93"/>
      <c r="AG2847" s="93"/>
      <c r="AH2847" s="93"/>
      <c r="AI2847" s="93"/>
      <c r="AJ2847" s="93"/>
    </row>
    <row r="2848" spans="30:36" ht="18">
      <c r="AD2848" s="93"/>
      <c r="AE2848" s="214"/>
      <c r="AF2848" s="93"/>
      <c r="AG2848" s="93"/>
      <c r="AH2848" s="93"/>
      <c r="AI2848" s="93"/>
      <c r="AJ2848" s="93"/>
    </row>
    <row r="2849" spans="30:36" ht="18">
      <c r="AD2849" s="93"/>
      <c r="AE2849" s="214"/>
      <c r="AF2849" s="93"/>
      <c r="AG2849" s="93"/>
      <c r="AH2849" s="93"/>
      <c r="AI2849" s="93"/>
      <c r="AJ2849" s="93"/>
    </row>
    <row r="2850" spans="30:36" ht="18">
      <c r="AD2850" s="93"/>
      <c r="AE2850" s="214"/>
      <c r="AF2850" s="93"/>
      <c r="AG2850" s="93"/>
      <c r="AH2850" s="93"/>
      <c r="AI2850" s="93"/>
      <c r="AJ2850" s="93"/>
    </row>
    <row r="2851" spans="30:36" ht="18">
      <c r="AD2851" s="93"/>
      <c r="AE2851" s="214"/>
      <c r="AF2851" s="93"/>
      <c r="AG2851" s="93"/>
      <c r="AH2851" s="93"/>
      <c r="AI2851" s="93"/>
      <c r="AJ2851" s="93"/>
    </row>
    <row r="2852" spans="30:36" ht="18">
      <c r="AD2852" s="93"/>
      <c r="AE2852" s="214"/>
      <c r="AF2852" s="93"/>
      <c r="AG2852" s="93"/>
      <c r="AH2852" s="93"/>
      <c r="AI2852" s="93"/>
      <c r="AJ2852" s="93"/>
    </row>
    <row r="2853" spans="30:36" ht="18">
      <c r="AD2853" s="93"/>
      <c r="AE2853" s="214"/>
      <c r="AF2853" s="93"/>
      <c r="AG2853" s="93"/>
      <c r="AH2853" s="93"/>
      <c r="AI2853" s="93"/>
      <c r="AJ2853" s="93"/>
    </row>
    <row r="2854" spans="30:36" ht="18">
      <c r="AD2854" s="93"/>
      <c r="AE2854" s="214"/>
      <c r="AF2854" s="93"/>
      <c r="AG2854" s="93"/>
      <c r="AH2854" s="93"/>
      <c r="AI2854" s="93"/>
      <c r="AJ2854" s="93"/>
    </row>
    <row r="2855" spans="30:36" ht="18">
      <c r="AD2855" s="93"/>
      <c r="AE2855" s="214"/>
      <c r="AF2855" s="93"/>
      <c r="AG2855" s="93"/>
      <c r="AH2855" s="93"/>
      <c r="AI2855" s="93"/>
      <c r="AJ2855" s="93"/>
    </row>
    <row r="2856" spans="30:36" ht="18">
      <c r="AD2856" s="93"/>
      <c r="AE2856" s="215"/>
      <c r="AF2856" s="93"/>
      <c r="AG2856" s="93"/>
      <c r="AH2856" s="93"/>
      <c r="AI2856" s="93"/>
      <c r="AJ2856" s="93"/>
    </row>
    <row r="2857" spans="30:36" ht="18">
      <c r="AD2857" s="93"/>
      <c r="AE2857" s="214"/>
      <c r="AF2857" s="93"/>
      <c r="AG2857" s="93"/>
      <c r="AH2857" s="93"/>
      <c r="AI2857" s="93"/>
      <c r="AJ2857" s="93"/>
    </row>
    <row r="2858" spans="30:36" ht="18">
      <c r="AD2858" s="93"/>
      <c r="AE2858" s="214"/>
      <c r="AF2858" s="93"/>
      <c r="AG2858" s="93"/>
      <c r="AH2858" s="93"/>
      <c r="AI2858" s="93"/>
      <c r="AJ2858" s="93"/>
    </row>
    <row r="2859" spans="30:36" ht="18">
      <c r="AD2859" s="93"/>
      <c r="AE2859" s="214"/>
      <c r="AF2859" s="93"/>
      <c r="AG2859" s="93"/>
      <c r="AH2859" s="93"/>
      <c r="AI2859" s="93"/>
      <c r="AJ2859" s="93"/>
    </row>
    <row r="2860" spans="30:36" ht="18">
      <c r="AD2860" s="93"/>
      <c r="AE2860" s="214"/>
      <c r="AF2860" s="93"/>
      <c r="AG2860" s="93"/>
      <c r="AH2860" s="93"/>
      <c r="AI2860" s="93"/>
      <c r="AJ2860" s="93"/>
    </row>
    <row r="2861" spans="30:36" ht="18">
      <c r="AD2861" s="93"/>
      <c r="AE2861" s="214"/>
      <c r="AF2861" s="93"/>
      <c r="AG2861" s="93"/>
      <c r="AH2861" s="93"/>
      <c r="AI2861" s="93"/>
      <c r="AJ2861" s="93"/>
    </row>
    <row r="2862" spans="30:36" ht="18">
      <c r="AD2862" s="93"/>
      <c r="AE2862" s="214"/>
      <c r="AF2862" s="93"/>
      <c r="AG2862" s="93"/>
      <c r="AH2862" s="93"/>
      <c r="AI2862" s="93"/>
      <c r="AJ2862" s="93"/>
    </row>
    <row r="2863" spans="30:36" ht="18">
      <c r="AD2863" s="93"/>
      <c r="AE2863" s="214"/>
      <c r="AF2863" s="93"/>
      <c r="AG2863" s="93"/>
      <c r="AH2863" s="93"/>
      <c r="AI2863" s="93"/>
      <c r="AJ2863" s="93"/>
    </row>
    <row r="2864" spans="30:36" ht="18">
      <c r="AD2864" s="93"/>
      <c r="AE2864" s="214"/>
      <c r="AF2864" s="93"/>
      <c r="AG2864" s="93"/>
      <c r="AH2864" s="93"/>
      <c r="AI2864" s="93"/>
      <c r="AJ2864" s="93"/>
    </row>
    <row r="2865" spans="30:36" ht="18">
      <c r="AD2865" s="93"/>
      <c r="AE2865" s="214"/>
      <c r="AF2865" s="93"/>
      <c r="AG2865" s="93"/>
      <c r="AH2865" s="93"/>
      <c r="AI2865" s="93"/>
      <c r="AJ2865" s="93"/>
    </row>
    <row r="2866" spans="30:36" ht="18">
      <c r="AD2866" s="93"/>
      <c r="AE2866" s="214"/>
      <c r="AF2866" s="93"/>
      <c r="AG2866" s="93"/>
      <c r="AH2866" s="93"/>
      <c r="AI2866" s="93"/>
      <c r="AJ2866" s="93"/>
    </row>
    <row r="2867" spans="30:36" ht="18">
      <c r="AD2867" s="93"/>
      <c r="AE2867" s="214"/>
      <c r="AF2867" s="93"/>
      <c r="AG2867" s="93"/>
      <c r="AH2867" s="93"/>
      <c r="AI2867" s="93"/>
      <c r="AJ2867" s="93"/>
    </row>
    <row r="2868" spans="30:36" ht="18">
      <c r="AD2868" s="93"/>
      <c r="AE2868" s="214"/>
      <c r="AF2868" s="93"/>
      <c r="AG2868" s="93"/>
      <c r="AH2868" s="93"/>
      <c r="AI2868" s="93"/>
      <c r="AJ2868" s="93"/>
    </row>
    <row r="2869" spans="30:36" ht="18">
      <c r="AD2869" s="93"/>
      <c r="AE2869" s="215"/>
      <c r="AF2869" s="93"/>
      <c r="AG2869" s="93"/>
      <c r="AH2869" s="93"/>
      <c r="AI2869" s="93"/>
      <c r="AJ2869" s="93"/>
    </row>
    <row r="2870" spans="30:36" ht="18">
      <c r="AD2870" s="93"/>
      <c r="AE2870" s="215"/>
      <c r="AF2870" s="93"/>
      <c r="AG2870" s="93"/>
      <c r="AH2870" s="93"/>
      <c r="AI2870" s="93"/>
      <c r="AJ2870" s="93"/>
    </row>
    <row r="2871" spans="30:36" ht="18">
      <c r="AD2871" s="93"/>
      <c r="AE2871" s="214"/>
      <c r="AF2871" s="93"/>
      <c r="AG2871" s="93"/>
      <c r="AH2871" s="93"/>
      <c r="AI2871" s="93"/>
      <c r="AJ2871" s="93"/>
    </row>
    <row r="2872" spans="30:36" ht="18">
      <c r="AD2872" s="93"/>
      <c r="AE2872" s="214"/>
      <c r="AF2872" s="93"/>
      <c r="AG2872" s="93"/>
      <c r="AH2872" s="93"/>
      <c r="AI2872" s="93"/>
      <c r="AJ2872" s="93"/>
    </row>
    <row r="2873" spans="30:36" ht="18">
      <c r="AD2873" s="93"/>
      <c r="AE2873" s="214"/>
      <c r="AF2873" s="93"/>
      <c r="AG2873" s="93"/>
      <c r="AH2873" s="93"/>
      <c r="AI2873" s="93"/>
      <c r="AJ2873" s="93"/>
    </row>
    <row r="2874" spans="30:36" ht="18">
      <c r="AD2874" s="93"/>
      <c r="AE2874" s="214"/>
      <c r="AF2874" s="93"/>
      <c r="AG2874" s="93"/>
      <c r="AH2874" s="93"/>
      <c r="AI2874" s="93"/>
      <c r="AJ2874" s="93"/>
    </row>
    <row r="2875" spans="30:36" ht="18">
      <c r="AD2875" s="93"/>
      <c r="AE2875" s="215"/>
      <c r="AF2875" s="93"/>
      <c r="AG2875" s="93"/>
      <c r="AH2875" s="93"/>
      <c r="AI2875" s="93"/>
      <c r="AJ2875" s="93"/>
    </row>
    <row r="2876" spans="30:36" ht="18">
      <c r="AD2876" s="93"/>
      <c r="AE2876" s="214"/>
      <c r="AF2876" s="93"/>
      <c r="AG2876" s="93"/>
      <c r="AH2876" s="93"/>
      <c r="AI2876" s="93"/>
      <c r="AJ2876" s="93"/>
    </row>
    <row r="2877" spans="30:36" ht="18">
      <c r="AD2877" s="93"/>
      <c r="AE2877" s="214"/>
      <c r="AF2877" s="93"/>
      <c r="AG2877" s="93"/>
      <c r="AH2877" s="93"/>
      <c r="AI2877" s="93"/>
      <c r="AJ2877" s="93"/>
    </row>
    <row r="2878" spans="30:36" ht="18">
      <c r="AD2878" s="93"/>
      <c r="AE2878" s="214"/>
      <c r="AF2878" s="93"/>
      <c r="AG2878" s="93"/>
      <c r="AH2878" s="93"/>
      <c r="AI2878" s="93"/>
      <c r="AJ2878" s="93"/>
    </row>
    <row r="2879" spans="30:36" ht="18">
      <c r="AD2879" s="93"/>
      <c r="AE2879" s="214"/>
      <c r="AF2879" s="93"/>
      <c r="AG2879" s="93"/>
      <c r="AH2879" s="93"/>
      <c r="AI2879" s="93"/>
      <c r="AJ2879" s="93"/>
    </row>
    <row r="2880" spans="30:36" ht="18">
      <c r="AD2880" s="93"/>
      <c r="AE2880" s="215"/>
      <c r="AF2880" s="93"/>
      <c r="AG2880" s="93"/>
      <c r="AH2880" s="93"/>
      <c r="AI2880" s="93"/>
      <c r="AJ2880" s="93"/>
    </row>
    <row r="2881" spans="30:36" ht="18">
      <c r="AD2881" s="93"/>
      <c r="AE2881" s="214"/>
      <c r="AF2881" s="93"/>
      <c r="AG2881" s="93"/>
      <c r="AH2881" s="93"/>
      <c r="AI2881" s="93"/>
      <c r="AJ2881" s="93"/>
    </row>
    <row r="2882" spans="30:36" ht="18">
      <c r="AD2882" s="93"/>
      <c r="AE2882" s="214"/>
      <c r="AF2882" s="93"/>
      <c r="AG2882" s="93"/>
      <c r="AH2882" s="93"/>
      <c r="AI2882" s="93"/>
      <c r="AJ2882" s="93"/>
    </row>
    <row r="2883" spans="30:36" ht="18">
      <c r="AD2883" s="93"/>
      <c r="AE2883" s="214"/>
      <c r="AF2883" s="93"/>
      <c r="AG2883" s="93"/>
      <c r="AH2883" s="93"/>
      <c r="AI2883" s="93"/>
      <c r="AJ2883" s="93"/>
    </row>
    <row r="2884" spans="30:36" ht="18">
      <c r="AD2884" s="93"/>
      <c r="AE2884" s="214"/>
      <c r="AF2884" s="93"/>
      <c r="AG2884" s="93"/>
      <c r="AH2884" s="93"/>
      <c r="AI2884" s="93"/>
      <c r="AJ2884" s="93"/>
    </row>
    <row r="2885" spans="30:36" ht="18">
      <c r="AD2885" s="93"/>
      <c r="AE2885" s="215"/>
      <c r="AF2885" s="93"/>
      <c r="AG2885" s="93"/>
      <c r="AH2885" s="93"/>
      <c r="AI2885" s="93"/>
      <c r="AJ2885" s="93"/>
    </row>
    <row r="2886" spans="30:36" ht="18">
      <c r="AD2886" s="93"/>
      <c r="AE2886" s="214"/>
      <c r="AF2886" s="93"/>
      <c r="AG2886" s="93"/>
      <c r="AH2886" s="93"/>
      <c r="AI2886" s="93"/>
      <c r="AJ2886" s="93"/>
    </row>
    <row r="2887" spans="30:36" ht="18">
      <c r="AD2887" s="93"/>
      <c r="AE2887" s="214"/>
      <c r="AF2887" s="93"/>
      <c r="AG2887" s="93"/>
      <c r="AH2887" s="93"/>
      <c r="AI2887" s="93"/>
      <c r="AJ2887" s="93"/>
    </row>
    <row r="2888" spans="30:36" ht="18">
      <c r="AD2888" s="93"/>
      <c r="AE2888" s="214"/>
      <c r="AF2888" s="93"/>
      <c r="AG2888" s="93"/>
      <c r="AH2888" s="93"/>
      <c r="AI2888" s="93"/>
      <c r="AJ2888" s="93"/>
    </row>
    <row r="2889" spans="30:36" ht="18">
      <c r="AD2889" s="93"/>
      <c r="AE2889" s="214"/>
      <c r="AF2889" s="93"/>
      <c r="AG2889" s="93"/>
      <c r="AH2889" s="93"/>
      <c r="AI2889" s="93"/>
      <c r="AJ2889" s="93"/>
    </row>
    <row r="2890" spans="30:36" ht="18">
      <c r="AD2890" s="93"/>
      <c r="AE2890" s="215"/>
      <c r="AF2890" s="93"/>
      <c r="AG2890" s="93"/>
      <c r="AH2890" s="93"/>
      <c r="AI2890" s="93"/>
      <c r="AJ2890" s="93"/>
    </row>
    <row r="2891" spans="30:36" ht="18">
      <c r="AD2891" s="93"/>
      <c r="AE2891" s="214"/>
      <c r="AF2891" s="93"/>
      <c r="AG2891" s="93"/>
      <c r="AH2891" s="93"/>
      <c r="AI2891" s="93"/>
      <c r="AJ2891" s="93"/>
    </row>
    <row r="2892" spans="30:36" ht="18">
      <c r="AD2892" s="93"/>
      <c r="AE2892" s="214"/>
      <c r="AF2892" s="93"/>
      <c r="AG2892" s="93"/>
      <c r="AH2892" s="93"/>
      <c r="AI2892" s="93"/>
      <c r="AJ2892" s="93"/>
    </row>
    <row r="2893" spans="30:36" ht="18">
      <c r="AD2893" s="93"/>
      <c r="AE2893" s="214"/>
      <c r="AF2893" s="93"/>
      <c r="AG2893" s="93"/>
      <c r="AH2893" s="93"/>
      <c r="AI2893" s="93"/>
      <c r="AJ2893" s="93"/>
    </row>
    <row r="2894" spans="30:36" ht="18">
      <c r="AD2894" s="93"/>
      <c r="AE2894" s="214"/>
      <c r="AF2894" s="93"/>
      <c r="AG2894" s="93"/>
      <c r="AH2894" s="93"/>
      <c r="AI2894" s="93"/>
      <c r="AJ2894" s="93"/>
    </row>
    <row r="2895" spans="30:36" ht="18">
      <c r="AD2895" s="93"/>
      <c r="AE2895" s="215"/>
      <c r="AF2895" s="93"/>
      <c r="AG2895" s="93"/>
      <c r="AH2895" s="93"/>
      <c r="AI2895" s="93"/>
      <c r="AJ2895" s="93"/>
    </row>
    <row r="2896" spans="30:36" ht="18">
      <c r="AD2896" s="93"/>
      <c r="AE2896" s="214"/>
      <c r="AF2896" s="93"/>
      <c r="AG2896" s="93"/>
      <c r="AH2896" s="93"/>
      <c r="AI2896" s="93"/>
      <c r="AJ2896" s="93"/>
    </row>
    <row r="2897" spans="30:36" ht="18">
      <c r="AD2897" s="93"/>
      <c r="AE2897" s="214"/>
      <c r="AF2897" s="93"/>
      <c r="AG2897" s="93"/>
      <c r="AH2897" s="93"/>
      <c r="AI2897" s="93"/>
      <c r="AJ2897" s="93"/>
    </row>
    <row r="2898" spans="30:36" ht="18">
      <c r="AD2898" s="93"/>
      <c r="AE2898" s="214"/>
      <c r="AF2898" s="93"/>
      <c r="AG2898" s="93"/>
      <c r="AH2898" s="93"/>
      <c r="AI2898" s="93"/>
      <c r="AJ2898" s="93"/>
    </row>
    <row r="2899" spans="30:36" ht="18">
      <c r="AD2899" s="93"/>
      <c r="AE2899" s="214"/>
      <c r="AF2899" s="93"/>
      <c r="AG2899" s="93"/>
      <c r="AH2899" s="93"/>
      <c r="AI2899" s="93"/>
      <c r="AJ2899" s="93"/>
    </row>
    <row r="2900" spans="30:36" ht="18">
      <c r="AD2900" s="93"/>
      <c r="AE2900" s="214"/>
      <c r="AF2900" s="93"/>
      <c r="AG2900" s="93"/>
      <c r="AH2900" s="93"/>
      <c r="AI2900" s="93"/>
      <c r="AJ2900" s="93"/>
    </row>
    <row r="2901" spans="30:36" ht="18">
      <c r="AD2901" s="93"/>
      <c r="AE2901" s="214"/>
      <c r="AF2901" s="93"/>
      <c r="AG2901" s="93"/>
      <c r="AH2901" s="93"/>
      <c r="AI2901" s="93"/>
      <c r="AJ2901" s="93"/>
    </row>
    <row r="2902" spans="30:36" ht="18">
      <c r="AD2902" s="93"/>
      <c r="AE2902" s="214"/>
      <c r="AF2902" s="93"/>
      <c r="AG2902" s="93"/>
      <c r="AH2902" s="93"/>
      <c r="AI2902" s="93"/>
      <c r="AJ2902" s="93"/>
    </row>
    <row r="2903" spans="30:36" ht="18">
      <c r="AD2903" s="93"/>
      <c r="AE2903" s="214"/>
      <c r="AF2903" s="93"/>
      <c r="AG2903" s="93"/>
      <c r="AH2903" s="93"/>
      <c r="AI2903" s="93"/>
      <c r="AJ2903" s="93"/>
    </row>
    <row r="2904" spans="30:36" ht="18">
      <c r="AD2904" s="93"/>
      <c r="AE2904" s="214"/>
      <c r="AF2904" s="93"/>
      <c r="AG2904" s="93"/>
      <c r="AH2904" s="93"/>
      <c r="AI2904" s="93"/>
      <c r="AJ2904" s="93"/>
    </row>
    <row r="2905" spans="30:36" ht="18">
      <c r="AD2905" s="93"/>
      <c r="AE2905" s="215"/>
      <c r="AF2905" s="93"/>
      <c r="AG2905" s="93"/>
      <c r="AH2905" s="93"/>
      <c r="AI2905" s="93"/>
      <c r="AJ2905" s="93"/>
    </row>
    <row r="2906" spans="30:36" ht="18">
      <c r="AD2906" s="93"/>
      <c r="AE2906" s="214"/>
      <c r="AF2906" s="93"/>
      <c r="AG2906" s="93"/>
      <c r="AH2906" s="93"/>
      <c r="AI2906" s="93"/>
      <c r="AJ2906" s="93"/>
    </row>
    <row r="2907" spans="30:36" ht="18">
      <c r="AD2907" s="93"/>
      <c r="AE2907" s="214"/>
      <c r="AF2907" s="93"/>
      <c r="AG2907" s="93"/>
      <c r="AH2907" s="93"/>
      <c r="AI2907" s="93"/>
      <c r="AJ2907" s="93"/>
    </row>
    <row r="2908" spans="30:36" ht="18">
      <c r="AD2908" s="93"/>
      <c r="AE2908" s="214"/>
      <c r="AF2908" s="93"/>
      <c r="AG2908" s="93"/>
      <c r="AH2908" s="93"/>
      <c r="AI2908" s="93"/>
      <c r="AJ2908" s="93"/>
    </row>
    <row r="2909" spans="30:36" ht="18">
      <c r="AD2909" s="93"/>
      <c r="AE2909" s="214"/>
      <c r="AF2909" s="93"/>
      <c r="AG2909" s="93"/>
      <c r="AH2909" s="93"/>
      <c r="AI2909" s="93"/>
      <c r="AJ2909" s="93"/>
    </row>
    <row r="2910" spans="30:36" ht="18">
      <c r="AD2910" s="93"/>
      <c r="AE2910" s="215"/>
      <c r="AF2910" s="93"/>
      <c r="AG2910" s="93"/>
      <c r="AH2910" s="93"/>
      <c r="AI2910" s="93"/>
      <c r="AJ2910" s="93"/>
    </row>
    <row r="2911" spans="30:36" ht="18">
      <c r="AD2911" s="93"/>
      <c r="AE2911" s="214"/>
      <c r="AF2911" s="93"/>
      <c r="AG2911" s="93"/>
      <c r="AH2911" s="93"/>
      <c r="AI2911" s="93"/>
      <c r="AJ2911" s="93"/>
    </row>
    <row r="2912" spans="30:36" ht="18">
      <c r="AD2912" s="93"/>
      <c r="AE2912" s="214"/>
      <c r="AF2912" s="93"/>
      <c r="AG2912" s="93"/>
      <c r="AH2912" s="93"/>
      <c r="AI2912" s="93"/>
      <c r="AJ2912" s="93"/>
    </row>
    <row r="2913" spans="30:36" ht="18">
      <c r="AD2913" s="93"/>
      <c r="AE2913" s="214"/>
      <c r="AF2913" s="93"/>
      <c r="AG2913" s="93"/>
      <c r="AH2913" s="93"/>
      <c r="AI2913" s="93"/>
      <c r="AJ2913" s="93"/>
    </row>
    <row r="2914" spans="30:36" ht="18">
      <c r="AD2914" s="93"/>
      <c r="AE2914" s="214"/>
      <c r="AF2914" s="93"/>
      <c r="AG2914" s="93"/>
      <c r="AH2914" s="93"/>
      <c r="AI2914" s="93"/>
      <c r="AJ2914" s="93"/>
    </row>
    <row r="2915" spans="30:36" ht="18">
      <c r="AD2915" s="93"/>
      <c r="AE2915" s="215"/>
      <c r="AF2915" s="93"/>
      <c r="AG2915" s="93"/>
      <c r="AH2915" s="93"/>
      <c r="AI2915" s="93"/>
      <c r="AJ2915" s="93"/>
    </row>
    <row r="2916" spans="30:36" ht="18">
      <c r="AD2916" s="93"/>
      <c r="AE2916" s="214"/>
      <c r="AF2916" s="93"/>
      <c r="AG2916" s="93"/>
      <c r="AH2916" s="93"/>
      <c r="AI2916" s="93"/>
      <c r="AJ2916" s="93"/>
    </row>
    <row r="2917" spans="30:36" ht="18">
      <c r="AD2917" s="93"/>
      <c r="AE2917" s="214"/>
      <c r="AF2917" s="93"/>
      <c r="AG2917" s="93"/>
      <c r="AH2917" s="93"/>
      <c r="AI2917" s="93"/>
      <c r="AJ2917" s="93"/>
    </row>
    <row r="2918" spans="30:36" ht="18">
      <c r="AD2918" s="93"/>
      <c r="AE2918" s="214"/>
      <c r="AF2918" s="93"/>
      <c r="AG2918" s="93"/>
      <c r="AH2918" s="93"/>
      <c r="AI2918" s="93"/>
      <c r="AJ2918" s="93"/>
    </row>
    <row r="2919" spans="30:36" ht="18">
      <c r="AD2919" s="93"/>
      <c r="AE2919" s="214"/>
      <c r="AF2919" s="93"/>
      <c r="AG2919" s="93"/>
      <c r="AH2919" s="93"/>
      <c r="AI2919" s="93"/>
      <c r="AJ2919" s="93"/>
    </row>
    <row r="2920" spans="30:36" ht="18">
      <c r="AD2920" s="93"/>
      <c r="AE2920" s="215"/>
      <c r="AF2920" s="93"/>
      <c r="AG2920" s="93"/>
      <c r="AH2920" s="93"/>
      <c r="AI2920" s="93"/>
      <c r="AJ2920" s="93"/>
    </row>
    <row r="2921" spans="30:36" ht="18">
      <c r="AD2921" s="93"/>
      <c r="AE2921" s="214"/>
      <c r="AF2921" s="93"/>
      <c r="AG2921" s="93"/>
      <c r="AH2921" s="93"/>
      <c r="AI2921" s="93"/>
      <c r="AJ2921" s="93"/>
    </row>
    <row r="2922" spans="30:36" ht="18">
      <c r="AD2922" s="93"/>
      <c r="AE2922" s="214"/>
      <c r="AF2922" s="93"/>
      <c r="AG2922" s="93"/>
      <c r="AH2922" s="93"/>
      <c r="AI2922" s="93"/>
      <c r="AJ2922" s="93"/>
    </row>
    <row r="2923" spans="30:36" ht="18">
      <c r="AD2923" s="93"/>
      <c r="AE2923" s="214"/>
      <c r="AF2923" s="93"/>
      <c r="AG2923" s="93"/>
      <c r="AH2923" s="93"/>
      <c r="AI2923" s="93"/>
      <c r="AJ2923" s="93"/>
    </row>
    <row r="2924" spans="30:36" ht="18">
      <c r="AD2924" s="93"/>
      <c r="AE2924" s="214"/>
      <c r="AF2924" s="93"/>
      <c r="AG2924" s="93"/>
      <c r="AH2924" s="93"/>
      <c r="AI2924" s="93"/>
      <c r="AJ2924" s="93"/>
    </row>
    <row r="2925" spans="30:36" ht="18">
      <c r="AD2925" s="93"/>
      <c r="AE2925" s="215"/>
      <c r="AF2925" s="93"/>
      <c r="AG2925" s="93"/>
      <c r="AH2925" s="93"/>
      <c r="AI2925" s="93"/>
      <c r="AJ2925" s="93"/>
    </row>
    <row r="2926" spans="30:36" ht="18">
      <c r="AD2926" s="93"/>
      <c r="AE2926" s="214"/>
      <c r="AF2926" s="93"/>
      <c r="AG2926" s="93"/>
      <c r="AH2926" s="93"/>
      <c r="AI2926" s="93"/>
      <c r="AJ2926" s="93"/>
    </row>
    <row r="2927" spans="30:36" ht="18">
      <c r="AD2927" s="93"/>
      <c r="AE2927" s="214"/>
      <c r="AF2927" s="93"/>
      <c r="AG2927" s="93"/>
      <c r="AH2927" s="93"/>
      <c r="AI2927" s="93"/>
      <c r="AJ2927" s="93"/>
    </row>
    <row r="2928" spans="30:36" ht="18">
      <c r="AD2928" s="93"/>
      <c r="AE2928" s="214"/>
      <c r="AF2928" s="93"/>
      <c r="AG2928" s="93"/>
      <c r="AH2928" s="93"/>
      <c r="AI2928" s="93"/>
      <c r="AJ2928" s="93"/>
    </row>
    <row r="2929" spans="30:36" ht="18">
      <c r="AD2929" s="93"/>
      <c r="AE2929" s="214"/>
      <c r="AF2929" s="93"/>
      <c r="AG2929" s="93"/>
      <c r="AH2929" s="93"/>
      <c r="AI2929" s="93"/>
      <c r="AJ2929" s="93"/>
    </row>
    <row r="2930" spans="30:36" ht="18">
      <c r="AD2930" s="93"/>
      <c r="AE2930" s="215"/>
      <c r="AF2930" s="93"/>
      <c r="AG2930" s="93"/>
      <c r="AH2930" s="93"/>
      <c r="AI2930" s="93"/>
      <c r="AJ2930" s="93"/>
    </row>
    <row r="2931" spans="30:36" ht="18">
      <c r="AD2931" s="93"/>
      <c r="AE2931" s="214"/>
      <c r="AF2931" s="93"/>
      <c r="AG2931" s="93"/>
      <c r="AH2931" s="93"/>
      <c r="AI2931" s="93"/>
      <c r="AJ2931" s="93"/>
    </row>
    <row r="2932" spans="30:36" ht="18">
      <c r="AD2932" s="93"/>
      <c r="AE2932" s="214"/>
      <c r="AF2932" s="93"/>
      <c r="AG2932" s="93"/>
      <c r="AH2932" s="93"/>
      <c r="AI2932" s="93"/>
      <c r="AJ2932" s="93"/>
    </row>
    <row r="2933" spans="30:36" ht="18">
      <c r="AD2933" s="93"/>
      <c r="AE2933" s="214"/>
      <c r="AF2933" s="93"/>
      <c r="AG2933" s="93"/>
      <c r="AH2933" s="93"/>
      <c r="AI2933" s="93"/>
      <c r="AJ2933" s="93"/>
    </row>
    <row r="2934" spans="30:36" ht="18">
      <c r="AD2934" s="93"/>
      <c r="AE2934" s="214"/>
      <c r="AF2934" s="93"/>
      <c r="AG2934" s="93"/>
      <c r="AH2934" s="93"/>
      <c r="AI2934" s="93"/>
      <c r="AJ2934" s="93"/>
    </row>
    <row r="2935" spans="30:36" ht="18">
      <c r="AD2935" s="93"/>
      <c r="AE2935" s="215"/>
      <c r="AF2935" s="93"/>
      <c r="AG2935" s="93"/>
      <c r="AH2935" s="93"/>
      <c r="AI2935" s="93"/>
      <c r="AJ2935" s="93"/>
    </row>
    <row r="2936" spans="30:36" ht="18">
      <c r="AD2936" s="93"/>
      <c r="AE2936" s="214"/>
      <c r="AF2936" s="93"/>
      <c r="AG2936" s="93"/>
      <c r="AH2936" s="93"/>
      <c r="AI2936" s="93"/>
      <c r="AJ2936" s="93"/>
    </row>
    <row r="2937" spans="30:36" ht="18">
      <c r="AD2937" s="93"/>
      <c r="AE2937" s="214"/>
      <c r="AF2937" s="93"/>
      <c r="AG2937" s="93"/>
      <c r="AH2937" s="93"/>
      <c r="AI2937" s="93"/>
      <c r="AJ2937" s="93"/>
    </row>
    <row r="2938" spans="30:36" ht="18">
      <c r="AD2938" s="93"/>
      <c r="AE2938" s="214"/>
      <c r="AF2938" s="93"/>
      <c r="AG2938" s="93"/>
      <c r="AH2938" s="93"/>
      <c r="AI2938" s="93"/>
      <c r="AJ2938" s="93"/>
    </row>
    <row r="2939" spans="30:36" ht="18">
      <c r="AD2939" s="93"/>
      <c r="AE2939" s="214"/>
      <c r="AF2939" s="93"/>
      <c r="AG2939" s="93"/>
      <c r="AH2939" s="93"/>
      <c r="AI2939" s="93"/>
      <c r="AJ2939" s="93"/>
    </row>
    <row r="2940" spans="30:36" ht="18">
      <c r="AD2940" s="93"/>
      <c r="AE2940" s="214"/>
      <c r="AF2940" s="93"/>
      <c r="AG2940" s="93"/>
      <c r="AH2940" s="93"/>
      <c r="AI2940" s="93"/>
      <c r="AJ2940" s="93"/>
    </row>
    <row r="2941" spans="30:36" ht="18">
      <c r="AD2941" s="93"/>
      <c r="AE2941" s="214"/>
      <c r="AF2941" s="93"/>
      <c r="AG2941" s="93"/>
      <c r="AH2941" s="93"/>
      <c r="AI2941" s="93"/>
      <c r="AJ2941" s="93"/>
    </row>
    <row r="2942" spans="30:36" ht="18">
      <c r="AD2942" s="93"/>
      <c r="AE2942" s="214"/>
      <c r="AF2942" s="93"/>
      <c r="AG2942" s="93"/>
      <c r="AH2942" s="93"/>
      <c r="AI2942" s="93"/>
      <c r="AJ2942" s="93"/>
    </row>
    <row r="2943" spans="30:36" ht="18">
      <c r="AD2943" s="93"/>
      <c r="AE2943" s="214"/>
      <c r="AF2943" s="93"/>
      <c r="AG2943" s="93"/>
      <c r="AH2943" s="93"/>
      <c r="AI2943" s="93"/>
      <c r="AJ2943" s="93"/>
    </row>
    <row r="2944" spans="30:36" ht="18">
      <c r="AD2944" s="93"/>
      <c r="AE2944" s="214"/>
      <c r="AF2944" s="93"/>
      <c r="AG2944" s="93"/>
      <c r="AH2944" s="93"/>
      <c r="AI2944" s="93"/>
      <c r="AJ2944" s="93"/>
    </row>
    <row r="2945" spans="30:36" ht="18">
      <c r="AD2945" s="93"/>
      <c r="AE2945" s="215"/>
      <c r="AF2945" s="93"/>
      <c r="AG2945" s="93"/>
      <c r="AH2945" s="93"/>
      <c r="AI2945" s="93"/>
      <c r="AJ2945" s="93"/>
    </row>
    <row r="2946" spans="30:36" ht="18">
      <c r="AD2946" s="93"/>
      <c r="AE2946" s="214"/>
      <c r="AF2946" s="93"/>
      <c r="AG2946" s="93"/>
      <c r="AH2946" s="93"/>
      <c r="AI2946" s="93"/>
      <c r="AJ2946" s="93"/>
    </row>
    <row r="2947" spans="30:36" ht="18">
      <c r="AD2947" s="93"/>
      <c r="AE2947" s="214"/>
      <c r="AF2947" s="93"/>
      <c r="AG2947" s="93"/>
      <c r="AH2947" s="93"/>
      <c r="AI2947" s="93"/>
      <c r="AJ2947" s="93"/>
    </row>
    <row r="2948" spans="30:36" ht="18">
      <c r="AD2948" s="93"/>
      <c r="AE2948" s="214"/>
      <c r="AF2948" s="93"/>
      <c r="AG2948" s="93"/>
      <c r="AH2948" s="93"/>
      <c r="AI2948" s="93"/>
      <c r="AJ2948" s="93"/>
    </row>
    <row r="2949" spans="30:36" ht="18">
      <c r="AD2949" s="93"/>
      <c r="AE2949" s="214"/>
      <c r="AF2949" s="93"/>
      <c r="AG2949" s="93"/>
      <c r="AH2949" s="93"/>
      <c r="AI2949" s="93"/>
      <c r="AJ2949" s="93"/>
    </row>
    <row r="2950" spans="30:36" ht="18">
      <c r="AD2950" s="93"/>
      <c r="AE2950" s="215"/>
      <c r="AF2950" s="93"/>
      <c r="AG2950" s="93"/>
      <c r="AH2950" s="93"/>
      <c r="AI2950" s="93"/>
      <c r="AJ2950" s="93"/>
    </row>
    <row r="2951" spans="30:36" ht="18">
      <c r="AD2951" s="93"/>
      <c r="AE2951" s="214"/>
      <c r="AF2951" s="93"/>
      <c r="AG2951" s="93"/>
      <c r="AH2951" s="93"/>
      <c r="AI2951" s="93"/>
      <c r="AJ2951" s="93"/>
    </row>
    <row r="2952" spans="30:36" ht="18">
      <c r="AD2952" s="93"/>
      <c r="AE2952" s="214"/>
      <c r="AF2952" s="93"/>
      <c r="AG2952" s="93"/>
      <c r="AH2952" s="93"/>
      <c r="AI2952" s="93"/>
      <c r="AJ2952" s="93"/>
    </row>
    <row r="2953" spans="30:36" ht="18">
      <c r="AD2953" s="93"/>
      <c r="AE2953" s="214"/>
      <c r="AF2953" s="93"/>
      <c r="AG2953" s="93"/>
      <c r="AH2953" s="93"/>
      <c r="AI2953" s="93"/>
      <c r="AJ2953" s="93"/>
    </row>
    <row r="2954" spans="30:36" ht="18">
      <c r="AD2954" s="93"/>
      <c r="AE2954" s="214"/>
      <c r="AF2954" s="93"/>
      <c r="AG2954" s="93"/>
      <c r="AH2954" s="93"/>
      <c r="AI2954" s="93"/>
      <c r="AJ2954" s="93"/>
    </row>
    <row r="2955" spans="30:36" ht="18">
      <c r="AD2955" s="93"/>
      <c r="AE2955" s="215"/>
      <c r="AF2955" s="93"/>
      <c r="AG2955" s="93"/>
      <c r="AH2955" s="93"/>
      <c r="AI2955" s="93"/>
      <c r="AJ2955" s="93"/>
    </row>
    <row r="2956" spans="30:36" ht="18">
      <c r="AD2956" s="93"/>
      <c r="AE2956" s="214"/>
      <c r="AF2956" s="93"/>
      <c r="AG2956" s="93"/>
      <c r="AH2956" s="93"/>
      <c r="AI2956" s="93"/>
      <c r="AJ2956" s="93"/>
    </row>
    <row r="2957" spans="30:36" ht="18">
      <c r="AD2957" s="93"/>
      <c r="AE2957" s="214"/>
      <c r="AF2957" s="93"/>
      <c r="AG2957" s="93"/>
      <c r="AH2957" s="93"/>
      <c r="AI2957" s="93"/>
      <c r="AJ2957" s="93"/>
    </row>
    <row r="2958" spans="30:36" ht="18">
      <c r="AD2958" s="93"/>
      <c r="AE2958" s="214"/>
      <c r="AF2958" s="93"/>
      <c r="AG2958" s="93"/>
      <c r="AH2958" s="93"/>
      <c r="AI2958" s="93"/>
      <c r="AJ2958" s="93"/>
    </row>
    <row r="2959" spans="30:36" ht="18">
      <c r="AD2959" s="93"/>
      <c r="AE2959" s="214"/>
      <c r="AF2959" s="93"/>
      <c r="AG2959" s="93"/>
      <c r="AH2959" s="93"/>
      <c r="AI2959" s="93"/>
      <c r="AJ2959" s="93"/>
    </row>
    <row r="2960" spans="30:36" ht="18">
      <c r="AD2960" s="93"/>
      <c r="AE2960" s="215"/>
      <c r="AF2960" s="93"/>
      <c r="AG2960" s="93"/>
      <c r="AH2960" s="93"/>
      <c r="AI2960" s="93"/>
      <c r="AJ2960" s="93"/>
    </row>
    <row r="2961" spans="30:36" ht="18">
      <c r="AD2961" s="93"/>
      <c r="AE2961" s="214"/>
      <c r="AF2961" s="93"/>
      <c r="AG2961" s="93"/>
      <c r="AH2961" s="93"/>
      <c r="AI2961" s="93"/>
      <c r="AJ2961" s="93"/>
    </row>
    <row r="2962" spans="30:36" ht="18">
      <c r="AD2962" s="93"/>
      <c r="AE2962" s="214"/>
      <c r="AF2962" s="93"/>
      <c r="AG2962" s="93"/>
      <c r="AH2962" s="93"/>
      <c r="AI2962" s="93"/>
      <c r="AJ2962" s="93"/>
    </row>
    <row r="2963" spans="30:36" ht="18">
      <c r="AD2963" s="93"/>
      <c r="AE2963" s="215"/>
      <c r="AF2963" s="93"/>
      <c r="AG2963" s="93"/>
      <c r="AH2963" s="93"/>
      <c r="AI2963" s="93"/>
      <c r="AJ2963" s="93"/>
    </row>
    <row r="2964" spans="30:36" ht="18">
      <c r="AD2964" s="93"/>
      <c r="AE2964" s="214"/>
      <c r="AF2964" s="93"/>
      <c r="AG2964" s="93"/>
      <c r="AH2964" s="93"/>
      <c r="AI2964" s="93"/>
      <c r="AJ2964" s="93"/>
    </row>
    <row r="2965" spans="30:36" ht="18">
      <c r="AD2965" s="93"/>
      <c r="AE2965" s="214"/>
      <c r="AF2965" s="93"/>
      <c r="AG2965" s="93"/>
      <c r="AH2965" s="93"/>
      <c r="AI2965" s="93"/>
      <c r="AJ2965" s="93"/>
    </row>
    <row r="2966" spans="30:36" ht="18">
      <c r="AD2966" s="93"/>
      <c r="AE2966" s="214"/>
      <c r="AF2966" s="93"/>
      <c r="AG2966" s="93"/>
      <c r="AH2966" s="93"/>
      <c r="AI2966" s="93"/>
      <c r="AJ2966" s="93"/>
    </row>
    <row r="2967" spans="30:36" ht="18">
      <c r="AD2967" s="93"/>
      <c r="AE2967" s="214"/>
      <c r="AF2967" s="93"/>
      <c r="AG2967" s="93"/>
      <c r="AH2967" s="93"/>
      <c r="AI2967" s="93"/>
      <c r="AJ2967" s="93"/>
    </row>
    <row r="2968" spans="30:36" ht="18">
      <c r="AD2968" s="93"/>
      <c r="AE2968" s="214"/>
      <c r="AF2968" s="93"/>
      <c r="AG2968" s="93"/>
      <c r="AH2968" s="93"/>
      <c r="AI2968" s="93"/>
      <c r="AJ2968" s="93"/>
    </row>
    <row r="2969" spans="30:36" ht="18">
      <c r="AD2969" s="93"/>
      <c r="AE2969" s="214"/>
      <c r="AF2969" s="93"/>
      <c r="AG2969" s="93"/>
      <c r="AH2969" s="93"/>
      <c r="AI2969" s="93"/>
      <c r="AJ2969" s="93"/>
    </row>
    <row r="2970" spans="30:36" ht="18">
      <c r="AD2970" s="93"/>
      <c r="AE2970" s="214"/>
      <c r="AF2970" s="93"/>
      <c r="AG2970" s="93"/>
      <c r="AH2970" s="93"/>
      <c r="AI2970" s="93"/>
      <c r="AJ2970" s="93"/>
    </row>
    <row r="2971" spans="30:36" ht="18">
      <c r="AD2971" s="93"/>
      <c r="AE2971" s="214"/>
      <c r="AF2971" s="93"/>
      <c r="AG2971" s="93"/>
      <c r="AH2971" s="93"/>
      <c r="AI2971" s="93"/>
      <c r="AJ2971" s="93"/>
    </row>
    <row r="2972" spans="30:36" ht="18">
      <c r="AD2972" s="93"/>
      <c r="AE2972" s="214"/>
      <c r="AF2972" s="93"/>
      <c r="AG2972" s="93"/>
      <c r="AH2972" s="93"/>
      <c r="AI2972" s="93"/>
      <c r="AJ2972" s="93"/>
    </row>
    <row r="2973" spans="30:36" ht="18">
      <c r="AD2973" s="93"/>
      <c r="AE2973" s="215"/>
      <c r="AF2973" s="93"/>
      <c r="AG2973" s="93"/>
      <c r="AH2973" s="93"/>
      <c r="AI2973" s="93"/>
      <c r="AJ2973" s="93"/>
    </row>
    <row r="2974" spans="30:36" ht="18">
      <c r="AD2974" s="93"/>
      <c r="AE2974" s="214"/>
      <c r="AF2974" s="93"/>
      <c r="AG2974" s="93"/>
      <c r="AH2974" s="93"/>
      <c r="AI2974" s="93"/>
      <c r="AJ2974" s="93"/>
    </row>
    <row r="2975" spans="30:36" ht="18">
      <c r="AD2975" s="93"/>
      <c r="AE2975" s="214"/>
      <c r="AF2975" s="93"/>
      <c r="AG2975" s="93"/>
      <c r="AH2975" s="93"/>
      <c r="AI2975" s="93"/>
      <c r="AJ2975" s="93"/>
    </row>
    <row r="2976" spans="30:36" ht="18">
      <c r="AD2976" s="93"/>
      <c r="AE2976" s="214"/>
      <c r="AF2976" s="93"/>
      <c r="AG2976" s="93"/>
      <c r="AH2976" s="93"/>
      <c r="AI2976" s="93"/>
      <c r="AJ2976" s="93"/>
    </row>
    <row r="2977" spans="30:36" ht="18">
      <c r="AD2977" s="93"/>
      <c r="AE2977" s="214"/>
      <c r="AF2977" s="93"/>
      <c r="AG2977" s="93"/>
      <c r="AH2977" s="93"/>
      <c r="AI2977" s="93"/>
      <c r="AJ2977" s="93"/>
    </row>
    <row r="2978" spans="30:36" ht="18">
      <c r="AD2978" s="93"/>
      <c r="AE2978" s="215"/>
      <c r="AF2978" s="93"/>
      <c r="AG2978" s="93"/>
      <c r="AH2978" s="93"/>
      <c r="AI2978" s="93"/>
      <c r="AJ2978" s="93"/>
    </row>
    <row r="2979" spans="30:36" ht="18">
      <c r="AD2979" s="93"/>
      <c r="AE2979" s="214"/>
      <c r="AF2979" s="93"/>
      <c r="AG2979" s="93"/>
      <c r="AH2979" s="93"/>
      <c r="AI2979" s="93"/>
      <c r="AJ2979" s="93"/>
    </row>
    <row r="2980" spans="30:36" ht="18">
      <c r="AD2980" s="93"/>
      <c r="AE2980" s="214"/>
      <c r="AF2980" s="93"/>
      <c r="AG2980" s="93"/>
      <c r="AH2980" s="93"/>
      <c r="AI2980" s="93"/>
      <c r="AJ2980" s="93"/>
    </row>
    <row r="2981" spans="30:36" ht="18">
      <c r="AD2981" s="93"/>
      <c r="AE2981" s="214"/>
      <c r="AF2981" s="93"/>
      <c r="AG2981" s="93"/>
      <c r="AH2981" s="93"/>
      <c r="AI2981" s="93"/>
      <c r="AJ2981" s="93"/>
    </row>
    <row r="2982" spans="30:36" ht="18">
      <c r="AD2982" s="93"/>
      <c r="AE2982" s="214"/>
      <c r="AF2982" s="93"/>
      <c r="AG2982" s="93"/>
      <c r="AH2982" s="93"/>
      <c r="AI2982" s="93"/>
      <c r="AJ2982" s="93"/>
    </row>
    <row r="2983" spans="30:36" ht="18">
      <c r="AD2983" s="93"/>
      <c r="AE2983" s="215"/>
      <c r="AF2983" s="93"/>
      <c r="AG2983" s="93"/>
      <c r="AH2983" s="93"/>
      <c r="AI2983" s="93"/>
      <c r="AJ2983" s="93"/>
    </row>
    <row r="2984" spans="30:36" ht="18">
      <c r="AD2984" s="93"/>
      <c r="AE2984" s="214"/>
      <c r="AF2984" s="93"/>
      <c r="AG2984" s="93"/>
      <c r="AH2984" s="93"/>
      <c r="AI2984" s="93"/>
      <c r="AJ2984" s="93"/>
    </row>
    <row r="2985" spans="30:36" ht="18">
      <c r="AD2985" s="93"/>
      <c r="AE2985" s="214"/>
      <c r="AF2985" s="93"/>
      <c r="AG2985" s="93"/>
      <c r="AH2985" s="93"/>
      <c r="AI2985" s="93"/>
      <c r="AJ2985" s="93"/>
    </row>
    <row r="2986" spans="30:36" ht="18">
      <c r="AD2986" s="93"/>
      <c r="AE2986" s="215"/>
      <c r="AF2986" s="93"/>
      <c r="AG2986" s="93"/>
      <c r="AH2986" s="93"/>
      <c r="AI2986" s="93"/>
      <c r="AJ2986" s="93"/>
    </row>
    <row r="2987" spans="30:36" ht="18">
      <c r="AD2987" s="93"/>
      <c r="AE2987" s="214"/>
      <c r="AF2987" s="93"/>
      <c r="AG2987" s="93"/>
      <c r="AH2987" s="93"/>
      <c r="AI2987" s="93"/>
      <c r="AJ2987" s="93"/>
    </row>
    <row r="2988" spans="30:36" ht="18">
      <c r="AD2988" s="93"/>
      <c r="AE2988" s="214"/>
      <c r="AF2988" s="93"/>
      <c r="AG2988" s="93"/>
      <c r="AH2988" s="93"/>
      <c r="AI2988" s="93"/>
      <c r="AJ2988" s="93"/>
    </row>
    <row r="2989" spans="30:36" ht="18">
      <c r="AD2989" s="93"/>
      <c r="AE2989" s="214"/>
      <c r="AF2989" s="93"/>
      <c r="AG2989" s="93"/>
      <c r="AH2989" s="93"/>
      <c r="AI2989" s="93"/>
      <c r="AJ2989" s="93"/>
    </row>
    <row r="2990" spans="30:36" ht="18">
      <c r="AD2990" s="93"/>
      <c r="AE2990" s="214"/>
      <c r="AF2990" s="93"/>
      <c r="AG2990" s="93"/>
      <c r="AH2990" s="93"/>
      <c r="AI2990" s="93"/>
      <c r="AJ2990" s="93"/>
    </row>
    <row r="2991" spans="30:36" ht="18">
      <c r="AD2991" s="93"/>
      <c r="AE2991" s="215"/>
      <c r="AF2991" s="93"/>
      <c r="AG2991" s="93"/>
      <c r="AH2991" s="93"/>
      <c r="AI2991" s="93"/>
      <c r="AJ2991" s="93"/>
    </row>
    <row r="2992" spans="30:36" ht="18">
      <c r="AD2992" s="93"/>
      <c r="AE2992" s="214"/>
      <c r="AF2992" s="93"/>
      <c r="AG2992" s="93"/>
      <c r="AH2992" s="93"/>
      <c r="AI2992" s="93"/>
      <c r="AJ2992" s="93"/>
    </row>
    <row r="2993" spans="30:36" ht="18">
      <c r="AD2993" s="93"/>
      <c r="AE2993" s="214"/>
      <c r="AF2993" s="93"/>
      <c r="AG2993" s="93"/>
      <c r="AH2993" s="93"/>
      <c r="AI2993" s="93"/>
      <c r="AJ2993" s="93"/>
    </row>
    <row r="2994" spans="30:36" ht="18">
      <c r="AD2994" s="93"/>
      <c r="AE2994" s="214"/>
      <c r="AF2994" s="93"/>
      <c r="AG2994" s="93"/>
      <c r="AH2994" s="93"/>
      <c r="AI2994" s="93"/>
      <c r="AJ2994" s="93"/>
    </row>
    <row r="2995" spans="30:36" ht="18">
      <c r="AD2995" s="93"/>
      <c r="AE2995" s="214"/>
      <c r="AF2995" s="93"/>
      <c r="AG2995" s="93"/>
      <c r="AH2995" s="93"/>
      <c r="AI2995" s="93"/>
      <c r="AJ2995" s="93"/>
    </row>
    <row r="2996" spans="30:36" ht="18">
      <c r="AD2996" s="93"/>
      <c r="AE2996" s="215"/>
      <c r="AF2996" s="93"/>
      <c r="AG2996" s="93"/>
      <c r="AH2996" s="93"/>
      <c r="AI2996" s="93"/>
      <c r="AJ2996" s="93"/>
    </row>
    <row r="2997" spans="30:36" ht="18">
      <c r="AD2997" s="93"/>
      <c r="AE2997" s="214"/>
      <c r="AF2997" s="93"/>
      <c r="AG2997" s="93"/>
      <c r="AH2997" s="93"/>
      <c r="AI2997" s="93"/>
      <c r="AJ2997" s="93"/>
    </row>
    <row r="2998" spans="30:36" ht="18">
      <c r="AD2998" s="93"/>
      <c r="AE2998" s="214"/>
      <c r="AF2998" s="93"/>
      <c r="AG2998" s="93"/>
      <c r="AH2998" s="93"/>
      <c r="AI2998" s="93"/>
      <c r="AJ2998" s="93"/>
    </row>
    <row r="2999" spans="30:36" ht="18">
      <c r="AD2999" s="93"/>
      <c r="AE2999" s="214"/>
      <c r="AF2999" s="93"/>
      <c r="AG2999" s="93"/>
      <c r="AH2999" s="93"/>
      <c r="AI2999" s="93"/>
      <c r="AJ2999" s="93"/>
    </row>
    <row r="3000" spans="30:36" ht="18">
      <c r="AD3000" s="93"/>
      <c r="AE3000" s="214"/>
      <c r="AF3000" s="93"/>
      <c r="AG3000" s="93"/>
      <c r="AH3000" s="93"/>
      <c r="AI3000" s="93"/>
      <c r="AJ3000" s="93"/>
    </row>
    <row r="3001" spans="30:36" ht="18">
      <c r="AD3001" s="93"/>
      <c r="AE3001" s="215"/>
      <c r="AF3001" s="93"/>
      <c r="AG3001" s="93"/>
      <c r="AH3001" s="93"/>
      <c r="AI3001" s="93"/>
      <c r="AJ3001" s="93"/>
    </row>
    <row r="3002" spans="30:36" ht="18">
      <c r="AD3002" s="93"/>
      <c r="AE3002" s="214"/>
      <c r="AF3002" s="93"/>
      <c r="AG3002" s="93"/>
      <c r="AH3002" s="93"/>
      <c r="AI3002" s="93"/>
      <c r="AJ3002" s="93"/>
    </row>
    <row r="3003" spans="30:36" ht="18">
      <c r="AD3003" s="93"/>
      <c r="AE3003" s="214"/>
      <c r="AF3003" s="93"/>
      <c r="AG3003" s="93"/>
      <c r="AH3003" s="93"/>
      <c r="AI3003" s="93"/>
      <c r="AJ3003" s="93"/>
    </row>
    <row r="3004" spans="30:36" ht="18">
      <c r="AD3004" s="93"/>
      <c r="AE3004" s="214"/>
      <c r="AF3004" s="93"/>
      <c r="AG3004" s="93"/>
      <c r="AH3004" s="93"/>
      <c r="AI3004" s="93"/>
      <c r="AJ3004" s="93"/>
    </row>
    <row r="3005" spans="30:36" ht="18">
      <c r="AD3005" s="93"/>
      <c r="AE3005" s="214"/>
      <c r="AF3005" s="93"/>
      <c r="AG3005" s="93"/>
      <c r="AH3005" s="93"/>
      <c r="AI3005" s="93"/>
      <c r="AJ3005" s="93"/>
    </row>
    <row r="3006" spans="30:36" ht="18">
      <c r="AD3006" s="93"/>
      <c r="AE3006" s="215"/>
      <c r="AF3006" s="93"/>
      <c r="AG3006" s="93"/>
      <c r="AH3006" s="93"/>
      <c r="AI3006" s="93"/>
      <c r="AJ3006" s="93"/>
    </row>
    <row r="3007" spans="30:36" ht="18">
      <c r="AD3007" s="93"/>
      <c r="AE3007" s="214"/>
      <c r="AF3007" s="93"/>
      <c r="AG3007" s="93"/>
      <c r="AH3007" s="93"/>
      <c r="AI3007" s="93"/>
      <c r="AJ3007" s="93"/>
    </row>
    <row r="3008" spans="30:36" ht="18">
      <c r="AD3008" s="93"/>
      <c r="AE3008" s="214"/>
      <c r="AF3008" s="93"/>
      <c r="AG3008" s="93"/>
      <c r="AH3008" s="93"/>
      <c r="AI3008" s="93"/>
      <c r="AJ3008" s="93"/>
    </row>
    <row r="3009" spans="30:36" ht="18">
      <c r="AD3009" s="93"/>
      <c r="AE3009" s="214"/>
      <c r="AF3009" s="93"/>
      <c r="AG3009" s="93"/>
      <c r="AH3009" s="93"/>
      <c r="AI3009" s="93"/>
      <c r="AJ3009" s="93"/>
    </row>
    <row r="3010" spans="30:36" ht="18">
      <c r="AD3010" s="93"/>
      <c r="AE3010" s="214"/>
      <c r="AF3010" s="93"/>
      <c r="AG3010" s="93"/>
      <c r="AH3010" s="93"/>
      <c r="AI3010" s="93"/>
      <c r="AJ3010" s="93"/>
    </row>
    <row r="3011" spans="30:36" ht="18">
      <c r="AD3011" s="93"/>
      <c r="AE3011" s="215"/>
      <c r="AF3011" s="93"/>
      <c r="AG3011" s="93"/>
      <c r="AH3011" s="93"/>
      <c r="AI3011" s="93"/>
      <c r="AJ3011" s="93"/>
    </row>
    <row r="3012" spans="30:36" ht="18">
      <c r="AD3012" s="93"/>
      <c r="AE3012" s="214"/>
      <c r="AF3012" s="93"/>
      <c r="AG3012" s="93"/>
      <c r="AH3012" s="93"/>
      <c r="AI3012" s="93"/>
      <c r="AJ3012" s="93"/>
    </row>
    <row r="3013" spans="30:36" ht="18">
      <c r="AD3013" s="93"/>
      <c r="AE3013" s="214"/>
      <c r="AF3013" s="93"/>
      <c r="AG3013" s="93"/>
      <c r="AH3013" s="93"/>
      <c r="AI3013" s="93"/>
      <c r="AJ3013" s="93"/>
    </row>
    <row r="3014" spans="30:36" ht="18">
      <c r="AD3014" s="93"/>
      <c r="AE3014" s="214"/>
      <c r="AF3014" s="93"/>
      <c r="AG3014" s="93"/>
      <c r="AH3014" s="93"/>
      <c r="AI3014" s="93"/>
      <c r="AJ3014" s="93"/>
    </row>
    <row r="3015" spans="30:36" ht="18">
      <c r="AD3015" s="93"/>
      <c r="AE3015" s="214"/>
      <c r="AF3015" s="93"/>
      <c r="AG3015" s="93"/>
      <c r="AH3015" s="93"/>
      <c r="AI3015" s="93"/>
      <c r="AJ3015" s="93"/>
    </row>
    <row r="3016" spans="30:36" ht="18">
      <c r="AD3016" s="93"/>
      <c r="AE3016" s="215"/>
      <c r="AF3016" s="93"/>
      <c r="AG3016" s="93"/>
      <c r="AH3016" s="93"/>
      <c r="AI3016" s="93"/>
      <c r="AJ3016" s="93"/>
    </row>
    <row r="3017" spans="30:36" ht="18">
      <c r="AD3017" s="93"/>
      <c r="AE3017" s="214"/>
      <c r="AF3017" s="93"/>
      <c r="AG3017" s="93"/>
      <c r="AH3017" s="93"/>
      <c r="AI3017" s="93"/>
      <c r="AJ3017" s="93"/>
    </row>
    <row r="3018" spans="30:36" ht="18">
      <c r="AD3018" s="93"/>
      <c r="AE3018" s="214"/>
      <c r="AF3018" s="93"/>
      <c r="AG3018" s="93"/>
      <c r="AH3018" s="93"/>
      <c r="AI3018" s="93"/>
      <c r="AJ3018" s="93"/>
    </row>
    <row r="3019" spans="30:36" ht="18">
      <c r="AD3019" s="93"/>
      <c r="AE3019" s="214"/>
      <c r="AF3019" s="93"/>
      <c r="AG3019" s="93"/>
      <c r="AH3019" s="93"/>
      <c r="AI3019" s="93"/>
      <c r="AJ3019" s="93"/>
    </row>
    <row r="3020" spans="30:36" ht="18">
      <c r="AD3020" s="93"/>
      <c r="AE3020" s="214"/>
      <c r="AF3020" s="93"/>
      <c r="AG3020" s="93"/>
      <c r="AH3020" s="93"/>
      <c r="AI3020" s="93"/>
      <c r="AJ3020" s="93"/>
    </row>
    <row r="3021" spans="30:36" ht="18">
      <c r="AD3021" s="93"/>
      <c r="AE3021" s="215"/>
      <c r="AF3021" s="93"/>
      <c r="AG3021" s="93"/>
      <c r="AH3021" s="93"/>
      <c r="AI3021" s="93"/>
      <c r="AJ3021" s="93"/>
    </row>
    <row r="3022" spans="30:36" ht="18">
      <c r="AD3022" s="93"/>
      <c r="AE3022" s="215"/>
      <c r="AF3022" s="93"/>
      <c r="AG3022" s="93"/>
      <c r="AH3022" s="93"/>
      <c r="AI3022" s="93"/>
      <c r="AJ3022" s="93"/>
    </row>
    <row r="3023" spans="30:36" ht="18">
      <c r="AD3023" s="93"/>
      <c r="AE3023" s="214"/>
      <c r="AF3023" s="93"/>
      <c r="AG3023" s="93"/>
      <c r="AH3023" s="93"/>
      <c r="AI3023" s="93"/>
      <c r="AJ3023" s="93"/>
    </row>
    <row r="3024" spans="30:36" ht="18">
      <c r="AD3024" s="93"/>
      <c r="AE3024" s="214"/>
      <c r="AF3024" s="93"/>
      <c r="AG3024" s="93"/>
      <c r="AH3024" s="93"/>
      <c r="AI3024" s="93"/>
      <c r="AJ3024" s="93"/>
    </row>
    <row r="3025" spans="30:36" ht="18">
      <c r="AD3025" s="93"/>
      <c r="AE3025" s="215"/>
      <c r="AF3025" s="93"/>
      <c r="AG3025" s="93"/>
      <c r="AH3025" s="93"/>
      <c r="AI3025" s="93"/>
      <c r="AJ3025" s="93"/>
    </row>
    <row r="3026" spans="30:36" ht="18">
      <c r="AD3026" s="93"/>
      <c r="AE3026" s="214"/>
      <c r="AF3026" s="93"/>
      <c r="AG3026" s="93"/>
      <c r="AH3026" s="93"/>
      <c r="AI3026" s="93"/>
      <c r="AJ3026" s="93"/>
    </row>
    <row r="3027" spans="30:36" ht="18">
      <c r="AD3027" s="93"/>
      <c r="AE3027" s="214"/>
      <c r="AF3027" s="93"/>
      <c r="AG3027" s="93"/>
      <c r="AH3027" s="93"/>
      <c r="AI3027" s="93"/>
      <c r="AJ3027" s="93"/>
    </row>
    <row r="3028" spans="30:36" ht="18">
      <c r="AD3028" s="93"/>
      <c r="AE3028" s="214"/>
      <c r="AF3028" s="93"/>
      <c r="AG3028" s="93"/>
      <c r="AH3028" s="93"/>
      <c r="AI3028" s="93"/>
      <c r="AJ3028" s="93"/>
    </row>
    <row r="3029" spans="30:36" ht="18">
      <c r="AD3029" s="93"/>
      <c r="AE3029" s="214"/>
      <c r="AF3029" s="93"/>
      <c r="AG3029" s="93"/>
      <c r="AH3029" s="93"/>
      <c r="AI3029" s="93"/>
      <c r="AJ3029" s="93"/>
    </row>
    <row r="3030" spans="30:36" ht="18">
      <c r="AD3030" s="93"/>
      <c r="AE3030" s="214"/>
      <c r="AF3030" s="93"/>
      <c r="AG3030" s="93"/>
      <c r="AH3030" s="93"/>
      <c r="AI3030" s="93"/>
      <c r="AJ3030" s="93"/>
    </row>
    <row r="3031" spans="30:36" ht="18">
      <c r="AD3031" s="93"/>
      <c r="AE3031" s="214"/>
      <c r="AF3031" s="93"/>
      <c r="AG3031" s="93"/>
      <c r="AH3031" s="93"/>
      <c r="AI3031" s="93"/>
      <c r="AJ3031" s="93"/>
    </row>
    <row r="3032" spans="30:36" ht="18">
      <c r="AD3032" s="93"/>
      <c r="AE3032" s="214"/>
      <c r="AF3032" s="93"/>
      <c r="AG3032" s="93"/>
      <c r="AH3032" s="93"/>
      <c r="AI3032" s="93"/>
      <c r="AJ3032" s="93"/>
    </row>
    <row r="3033" spans="30:36" ht="18">
      <c r="AD3033" s="93"/>
      <c r="AE3033" s="214"/>
      <c r="AF3033" s="93"/>
      <c r="AG3033" s="93"/>
      <c r="AH3033" s="93"/>
      <c r="AI3033" s="93"/>
      <c r="AJ3033" s="93"/>
    </row>
    <row r="3034" spans="30:36" ht="18">
      <c r="AD3034" s="93"/>
      <c r="AE3034" s="215"/>
      <c r="AF3034" s="93"/>
      <c r="AG3034" s="93"/>
      <c r="AH3034" s="93"/>
      <c r="AI3034" s="93"/>
      <c r="AJ3034" s="93"/>
    </row>
    <row r="3035" spans="30:36" ht="18">
      <c r="AD3035" s="93"/>
      <c r="AE3035" s="215"/>
      <c r="AF3035" s="93"/>
      <c r="AG3035" s="93"/>
      <c r="AH3035" s="93"/>
      <c r="AI3035" s="93"/>
      <c r="AJ3035" s="93"/>
    </row>
    <row r="3036" spans="30:36" ht="18">
      <c r="AD3036" s="93"/>
      <c r="AE3036" s="215"/>
      <c r="AF3036" s="93"/>
      <c r="AG3036" s="93"/>
      <c r="AH3036" s="93"/>
      <c r="AI3036" s="93"/>
      <c r="AJ3036" s="93"/>
    </row>
    <row r="3037" spans="30:36" ht="18">
      <c r="AD3037" s="93"/>
      <c r="AE3037" s="214"/>
      <c r="AF3037" s="93"/>
      <c r="AG3037" s="93"/>
      <c r="AH3037" s="93"/>
      <c r="AI3037" s="93"/>
      <c r="AJ3037" s="93"/>
    </row>
    <row r="3038" spans="30:36" ht="18">
      <c r="AD3038" s="93"/>
      <c r="AE3038" s="214"/>
      <c r="AF3038" s="93"/>
      <c r="AG3038" s="93"/>
      <c r="AH3038" s="93"/>
      <c r="AI3038" s="93"/>
      <c r="AJ3038" s="93"/>
    </row>
    <row r="3039" spans="30:36" ht="18">
      <c r="AD3039" s="93"/>
      <c r="AE3039" s="214"/>
      <c r="AF3039" s="93"/>
      <c r="AG3039" s="93"/>
      <c r="AH3039" s="93"/>
      <c r="AI3039" s="93"/>
      <c r="AJ3039" s="93"/>
    </row>
    <row r="3040" spans="30:36" ht="18">
      <c r="AD3040" s="93"/>
      <c r="AE3040" s="214"/>
      <c r="AF3040" s="93"/>
      <c r="AG3040" s="93"/>
      <c r="AH3040" s="93"/>
      <c r="AI3040" s="93"/>
      <c r="AJ3040" s="93"/>
    </row>
    <row r="3041" spans="30:36" ht="18">
      <c r="AD3041" s="93"/>
      <c r="AE3041" s="215"/>
      <c r="AF3041" s="93"/>
      <c r="AG3041" s="93"/>
      <c r="AH3041" s="93"/>
      <c r="AI3041" s="93"/>
      <c r="AJ3041" s="93"/>
    </row>
    <row r="3042" spans="30:36" ht="18">
      <c r="AD3042" s="93"/>
      <c r="AE3042" s="214"/>
      <c r="AF3042" s="93"/>
      <c r="AG3042" s="93"/>
      <c r="AH3042" s="93"/>
      <c r="AI3042" s="93"/>
      <c r="AJ3042" s="93"/>
    </row>
    <row r="3043" spans="30:36" ht="18">
      <c r="AD3043" s="93"/>
      <c r="AE3043" s="214"/>
      <c r="AF3043" s="93"/>
      <c r="AG3043" s="93"/>
      <c r="AH3043" s="93"/>
      <c r="AI3043" s="93"/>
      <c r="AJ3043" s="93"/>
    </row>
    <row r="3044" spans="30:36" ht="18">
      <c r="AD3044" s="93"/>
      <c r="AE3044" s="214"/>
      <c r="AF3044" s="93"/>
      <c r="AG3044" s="93"/>
      <c r="AH3044" s="93"/>
      <c r="AI3044" s="93"/>
      <c r="AJ3044" s="93"/>
    </row>
    <row r="3045" spans="30:36" ht="18">
      <c r="AD3045" s="93"/>
      <c r="AE3045" s="214"/>
      <c r="AF3045" s="93"/>
      <c r="AG3045" s="93"/>
      <c r="AH3045" s="93"/>
      <c r="AI3045" s="93"/>
      <c r="AJ3045" s="93"/>
    </row>
    <row r="3046" spans="30:36" ht="18">
      <c r="AD3046" s="93"/>
      <c r="AE3046" s="215"/>
      <c r="AF3046" s="93"/>
      <c r="AG3046" s="93"/>
      <c r="AH3046" s="93"/>
      <c r="AI3046" s="93"/>
      <c r="AJ3046" s="93"/>
    </row>
    <row r="3047" spans="30:36" ht="18">
      <c r="AD3047" s="93"/>
      <c r="AE3047" s="214"/>
      <c r="AF3047" s="93"/>
      <c r="AG3047" s="93"/>
      <c r="AH3047" s="93"/>
      <c r="AI3047" s="93"/>
      <c r="AJ3047" s="93"/>
    </row>
    <row r="3048" spans="30:36" ht="18">
      <c r="AD3048" s="93"/>
      <c r="AE3048" s="214"/>
      <c r="AF3048" s="93"/>
      <c r="AG3048" s="93"/>
      <c r="AH3048" s="93"/>
      <c r="AI3048" s="93"/>
      <c r="AJ3048" s="93"/>
    </row>
    <row r="3049" spans="30:36" ht="18">
      <c r="AD3049" s="93"/>
      <c r="AE3049" s="214"/>
      <c r="AF3049" s="93"/>
      <c r="AG3049" s="93"/>
      <c r="AH3049" s="93"/>
      <c r="AI3049" s="93"/>
      <c r="AJ3049" s="93"/>
    </row>
    <row r="3050" spans="30:36" ht="18">
      <c r="AD3050" s="93"/>
      <c r="AE3050" s="214"/>
      <c r="AF3050" s="93"/>
      <c r="AG3050" s="93"/>
      <c r="AH3050" s="93"/>
      <c r="AI3050" s="93"/>
      <c r="AJ3050" s="93"/>
    </row>
    <row r="3051" spans="30:36" ht="18">
      <c r="AD3051" s="93"/>
      <c r="AE3051" s="214"/>
      <c r="AF3051" s="93"/>
      <c r="AG3051" s="93"/>
      <c r="AH3051" s="93"/>
      <c r="AI3051" s="93"/>
      <c r="AJ3051" s="93"/>
    </row>
    <row r="3052" spans="30:36" ht="18">
      <c r="AD3052" s="93"/>
      <c r="AE3052" s="215"/>
      <c r="AF3052" s="93"/>
      <c r="AG3052" s="93"/>
      <c r="AH3052" s="93"/>
      <c r="AI3052" s="93"/>
      <c r="AJ3052" s="93"/>
    </row>
    <row r="3053" spans="30:36" ht="18">
      <c r="AD3053" s="93"/>
      <c r="AE3053" s="214"/>
      <c r="AF3053" s="93"/>
      <c r="AG3053" s="93"/>
      <c r="AH3053" s="93"/>
      <c r="AI3053" s="93"/>
      <c r="AJ3053" s="93"/>
    </row>
    <row r="3054" spans="30:36" ht="18">
      <c r="AD3054" s="93"/>
      <c r="AE3054" s="214"/>
      <c r="AF3054" s="93"/>
      <c r="AG3054" s="93"/>
      <c r="AH3054" s="93"/>
      <c r="AI3054" s="93"/>
      <c r="AJ3054" s="93"/>
    </row>
    <row r="3055" spans="30:36" ht="18">
      <c r="AD3055" s="93"/>
      <c r="AE3055" s="215"/>
      <c r="AF3055" s="93"/>
      <c r="AG3055" s="93"/>
      <c r="AH3055" s="93"/>
      <c r="AI3055" s="93"/>
      <c r="AJ3055" s="93"/>
    </row>
    <row r="3056" spans="30:36" ht="18">
      <c r="AD3056" s="93"/>
      <c r="AE3056" s="214"/>
      <c r="AF3056" s="93"/>
      <c r="AG3056" s="93"/>
      <c r="AH3056" s="93"/>
      <c r="AI3056" s="93"/>
      <c r="AJ3056" s="93"/>
    </row>
    <row r="3057" spans="30:36" ht="18">
      <c r="AD3057" s="93"/>
      <c r="AE3057" s="214"/>
      <c r="AF3057" s="93"/>
      <c r="AG3057" s="93"/>
      <c r="AH3057" s="93"/>
      <c r="AI3057" s="93"/>
      <c r="AJ3057" s="93"/>
    </row>
    <row r="3058" spans="30:36" ht="18">
      <c r="AD3058" s="93"/>
      <c r="AE3058" s="215"/>
      <c r="AF3058" s="93"/>
      <c r="AG3058" s="93"/>
      <c r="AH3058" s="93"/>
      <c r="AI3058" s="93"/>
      <c r="AJ3058" s="93"/>
    </row>
    <row r="3059" spans="30:36" ht="18">
      <c r="AD3059" s="93"/>
      <c r="AE3059" s="214"/>
      <c r="AF3059" s="93"/>
      <c r="AG3059" s="93"/>
      <c r="AH3059" s="93"/>
      <c r="AI3059" s="93"/>
      <c r="AJ3059" s="93"/>
    </row>
    <row r="3060" spans="30:36" ht="18">
      <c r="AD3060" s="93"/>
      <c r="AE3060" s="214"/>
      <c r="AF3060" s="93"/>
      <c r="AG3060" s="93"/>
      <c r="AH3060" s="93"/>
      <c r="AI3060" s="93"/>
      <c r="AJ3060" s="93"/>
    </row>
    <row r="3061" spans="30:36" ht="18">
      <c r="AD3061" s="93"/>
      <c r="AE3061" s="214"/>
      <c r="AF3061" s="93"/>
      <c r="AG3061" s="93"/>
      <c r="AH3061" s="93"/>
      <c r="AI3061" s="93"/>
      <c r="AJ3061" s="93"/>
    </row>
    <row r="3062" spans="30:36" ht="18">
      <c r="AD3062" s="93"/>
      <c r="AE3062" s="215"/>
      <c r="AF3062" s="93"/>
      <c r="AG3062" s="93"/>
      <c r="AH3062" s="93"/>
      <c r="AI3062" s="93"/>
      <c r="AJ3062" s="93"/>
    </row>
    <row r="3063" spans="30:36" ht="18">
      <c r="AD3063" s="93"/>
      <c r="AE3063" s="215"/>
      <c r="AF3063" s="93"/>
      <c r="AG3063" s="93"/>
      <c r="AH3063" s="93"/>
      <c r="AI3063" s="93"/>
      <c r="AJ3063" s="93"/>
    </row>
    <row r="3064" spans="30:36" ht="18">
      <c r="AD3064" s="93"/>
      <c r="AE3064" s="214"/>
      <c r="AF3064" s="93"/>
      <c r="AG3064" s="93"/>
      <c r="AH3064" s="93"/>
      <c r="AI3064" s="93"/>
      <c r="AJ3064" s="93"/>
    </row>
    <row r="3065" spans="30:36" ht="18">
      <c r="AD3065" s="93"/>
      <c r="AE3065" s="214"/>
      <c r="AF3065" s="93"/>
      <c r="AG3065" s="93"/>
      <c r="AH3065" s="93"/>
      <c r="AI3065" s="93"/>
      <c r="AJ3065" s="93"/>
    </row>
    <row r="3066" spans="30:36" ht="18">
      <c r="AD3066" s="93"/>
      <c r="AE3066" s="214"/>
      <c r="AF3066" s="93"/>
      <c r="AG3066" s="93"/>
      <c r="AH3066" s="93"/>
      <c r="AI3066" s="93"/>
      <c r="AJ3066" s="93"/>
    </row>
    <row r="3067" spans="30:36" ht="18">
      <c r="AD3067" s="93"/>
      <c r="AE3067" s="214"/>
      <c r="AF3067" s="93"/>
      <c r="AG3067" s="93"/>
      <c r="AH3067" s="93"/>
      <c r="AI3067" s="93"/>
      <c r="AJ3067" s="93"/>
    </row>
    <row r="3068" spans="30:36" ht="18">
      <c r="AD3068" s="93"/>
      <c r="AE3068" s="215"/>
      <c r="AF3068" s="93"/>
      <c r="AG3068" s="93"/>
      <c r="AH3068" s="93"/>
      <c r="AI3068" s="93"/>
      <c r="AJ3068" s="93"/>
    </row>
    <row r="3069" spans="30:36" ht="18">
      <c r="AD3069" s="93"/>
      <c r="AE3069" s="215"/>
      <c r="AF3069" s="93"/>
      <c r="AG3069" s="93"/>
      <c r="AH3069" s="93"/>
      <c r="AI3069" s="93"/>
      <c r="AJ3069" s="93"/>
    </row>
    <row r="3070" spans="30:36" ht="18">
      <c r="AD3070" s="93"/>
      <c r="AE3070" s="214"/>
      <c r="AF3070" s="93"/>
      <c r="AG3070" s="93"/>
      <c r="AH3070" s="93"/>
      <c r="AI3070" s="93"/>
      <c r="AJ3070" s="93"/>
    </row>
    <row r="3071" spans="30:36" ht="18">
      <c r="AD3071" s="93"/>
      <c r="AE3071" s="214"/>
      <c r="AF3071" s="93"/>
      <c r="AG3071" s="93"/>
      <c r="AH3071" s="93"/>
      <c r="AI3071" s="93"/>
      <c r="AJ3071" s="93"/>
    </row>
    <row r="3072" spans="30:36" ht="18">
      <c r="AD3072" s="93"/>
      <c r="AE3072" s="214"/>
      <c r="AF3072" s="93"/>
      <c r="AG3072" s="93"/>
      <c r="AH3072" s="93"/>
      <c r="AI3072" s="93"/>
      <c r="AJ3072" s="93"/>
    </row>
    <row r="3073" spans="30:36" ht="18">
      <c r="AD3073" s="93"/>
      <c r="AE3073" s="214"/>
      <c r="AF3073" s="93"/>
      <c r="AG3073" s="93"/>
      <c r="AH3073" s="93"/>
      <c r="AI3073" s="93"/>
      <c r="AJ3073" s="93"/>
    </row>
    <row r="3074" spans="30:36" ht="18">
      <c r="AD3074" s="93"/>
      <c r="AE3074" s="214"/>
      <c r="AF3074" s="93"/>
      <c r="AG3074" s="93"/>
      <c r="AH3074" s="93"/>
      <c r="AI3074" s="93"/>
      <c r="AJ3074" s="93"/>
    </row>
    <row r="3075" spans="30:36" ht="18">
      <c r="AD3075" s="93"/>
      <c r="AE3075" s="214"/>
      <c r="AF3075" s="93"/>
      <c r="AG3075" s="93"/>
      <c r="AH3075" s="93"/>
      <c r="AI3075" s="93"/>
      <c r="AJ3075" s="93"/>
    </row>
    <row r="3076" spans="30:36" ht="18">
      <c r="AD3076" s="93"/>
      <c r="AE3076" s="214"/>
      <c r="AF3076" s="93"/>
      <c r="AG3076" s="93"/>
      <c r="AH3076" s="93"/>
      <c r="AI3076" s="93"/>
      <c r="AJ3076" s="93"/>
    </row>
    <row r="3077" spans="30:36" ht="18">
      <c r="AD3077" s="93"/>
      <c r="AE3077" s="215"/>
      <c r="AF3077" s="93"/>
      <c r="AG3077" s="93"/>
      <c r="AH3077" s="93"/>
      <c r="AI3077" s="93"/>
      <c r="AJ3077" s="93"/>
    </row>
    <row r="3078" spans="30:36" ht="18">
      <c r="AD3078" s="93"/>
      <c r="AE3078" s="214"/>
      <c r="AF3078" s="93"/>
      <c r="AG3078" s="93"/>
      <c r="AH3078" s="93"/>
      <c r="AI3078" s="93"/>
      <c r="AJ3078" s="93"/>
    </row>
    <row r="3079" spans="30:36" ht="18">
      <c r="AD3079" s="93"/>
      <c r="AE3079" s="214"/>
      <c r="AF3079" s="93"/>
      <c r="AG3079" s="93"/>
      <c r="AH3079" s="93"/>
      <c r="AI3079" s="93"/>
      <c r="AJ3079" s="93"/>
    </row>
    <row r="3080" spans="30:36" ht="18">
      <c r="AD3080" s="93"/>
      <c r="AE3080" s="214"/>
      <c r="AF3080" s="93"/>
      <c r="AG3080" s="93"/>
      <c r="AH3080" s="93"/>
      <c r="AI3080" s="93"/>
      <c r="AJ3080" s="93"/>
    </row>
    <row r="3081" spans="30:36" ht="18">
      <c r="AD3081" s="93"/>
      <c r="AE3081" s="214"/>
      <c r="AF3081" s="93"/>
      <c r="AG3081" s="93"/>
      <c r="AH3081" s="93"/>
      <c r="AI3081" s="93"/>
      <c r="AJ3081" s="93"/>
    </row>
    <row r="3082" spans="30:36" ht="18">
      <c r="AD3082" s="93"/>
      <c r="AE3082" s="214"/>
      <c r="AF3082" s="93"/>
      <c r="AG3082" s="93"/>
      <c r="AH3082" s="93"/>
      <c r="AI3082" s="93"/>
      <c r="AJ3082" s="93"/>
    </row>
    <row r="3083" spans="30:36" ht="18">
      <c r="AD3083" s="93"/>
      <c r="AE3083" s="214"/>
      <c r="AF3083" s="93"/>
      <c r="AG3083" s="93"/>
      <c r="AH3083" s="93"/>
      <c r="AI3083" s="93"/>
      <c r="AJ3083" s="93"/>
    </row>
    <row r="3084" spans="30:36" ht="18">
      <c r="AD3084" s="93"/>
      <c r="AE3084" s="214"/>
      <c r="AF3084" s="93"/>
      <c r="AG3084" s="93"/>
      <c r="AH3084" s="93"/>
      <c r="AI3084" s="93"/>
      <c r="AJ3084" s="93"/>
    </row>
    <row r="3085" spans="30:36" ht="18">
      <c r="AD3085" s="93"/>
      <c r="AE3085" s="214"/>
      <c r="AF3085" s="93"/>
      <c r="AG3085" s="93"/>
      <c r="AH3085" s="93"/>
      <c r="AI3085" s="93"/>
      <c r="AJ3085" s="93"/>
    </row>
    <row r="3086" spans="30:36" ht="18">
      <c r="AD3086" s="93"/>
      <c r="AE3086" s="214"/>
      <c r="AF3086" s="93"/>
      <c r="AG3086" s="93"/>
      <c r="AH3086" s="93"/>
      <c r="AI3086" s="93"/>
      <c r="AJ3086" s="93"/>
    </row>
    <row r="3087" spans="30:36" ht="18">
      <c r="AD3087" s="93"/>
      <c r="AE3087" s="214"/>
      <c r="AF3087" s="93"/>
      <c r="AG3087" s="93"/>
      <c r="AH3087" s="93"/>
      <c r="AI3087" s="93"/>
      <c r="AJ3087" s="93"/>
    </row>
    <row r="3088" spans="30:36" ht="18">
      <c r="AD3088" s="93"/>
      <c r="AE3088" s="214"/>
      <c r="AF3088" s="93"/>
      <c r="AG3088" s="93"/>
      <c r="AH3088" s="93"/>
      <c r="AI3088" s="93"/>
      <c r="AJ3088" s="93"/>
    </row>
    <row r="3089" spans="30:36" ht="18">
      <c r="AD3089" s="93"/>
      <c r="AE3089" s="214"/>
      <c r="AF3089" s="93"/>
      <c r="AG3089" s="93"/>
      <c r="AH3089" s="93"/>
      <c r="AI3089" s="93"/>
      <c r="AJ3089" s="93"/>
    </row>
    <row r="3090" spans="30:36" ht="18">
      <c r="AD3090" s="93"/>
      <c r="AE3090" s="214"/>
      <c r="AF3090" s="93"/>
      <c r="AG3090" s="93"/>
      <c r="AH3090" s="93"/>
      <c r="AI3090" s="93"/>
      <c r="AJ3090" s="93"/>
    </row>
    <row r="3091" spans="30:36" ht="18">
      <c r="AD3091" s="93"/>
      <c r="AE3091" s="214"/>
      <c r="AF3091" s="93"/>
      <c r="AG3091" s="93"/>
      <c r="AH3091" s="93"/>
      <c r="AI3091" s="93"/>
      <c r="AJ3091" s="93"/>
    </row>
    <row r="3092" spans="30:36" ht="18">
      <c r="AD3092" s="93"/>
      <c r="AE3092" s="214"/>
      <c r="AF3092" s="93"/>
      <c r="AG3092" s="93"/>
      <c r="AH3092" s="93"/>
      <c r="AI3092" s="93"/>
      <c r="AJ3092" s="93"/>
    </row>
    <row r="3093" spans="30:36" ht="18">
      <c r="AD3093" s="93"/>
      <c r="AE3093" s="214"/>
      <c r="AF3093" s="93"/>
      <c r="AG3093" s="93"/>
      <c r="AH3093" s="93"/>
      <c r="AI3093" s="93"/>
      <c r="AJ3093" s="93"/>
    </row>
    <row r="3094" spans="30:36" ht="18">
      <c r="AD3094" s="93"/>
      <c r="AE3094" s="214"/>
      <c r="AF3094" s="93"/>
      <c r="AG3094" s="93"/>
      <c r="AH3094" s="93"/>
      <c r="AI3094" s="93"/>
      <c r="AJ3094" s="93"/>
    </row>
    <row r="3095" spans="30:36" ht="18">
      <c r="AD3095" s="93"/>
      <c r="AE3095" s="214"/>
      <c r="AF3095" s="93"/>
      <c r="AG3095" s="93"/>
      <c r="AH3095" s="93"/>
      <c r="AI3095" s="93"/>
      <c r="AJ3095" s="93"/>
    </row>
    <row r="3096" spans="30:36" ht="18">
      <c r="AD3096" s="93"/>
      <c r="AE3096" s="214"/>
      <c r="AF3096" s="93"/>
      <c r="AG3096" s="93"/>
      <c r="AH3096" s="93"/>
      <c r="AI3096" s="93"/>
      <c r="AJ3096" s="93"/>
    </row>
    <row r="3097" spans="30:36" ht="18">
      <c r="AD3097" s="93"/>
      <c r="AE3097" s="214"/>
      <c r="AF3097" s="93"/>
      <c r="AG3097" s="93"/>
      <c r="AH3097" s="93"/>
      <c r="AI3097" s="93"/>
      <c r="AJ3097" s="93"/>
    </row>
    <row r="3098" spans="30:36" ht="18">
      <c r="AD3098" s="93"/>
      <c r="AE3098" s="214"/>
      <c r="AF3098" s="93"/>
      <c r="AG3098" s="93"/>
      <c r="AH3098" s="93"/>
      <c r="AI3098" s="93"/>
      <c r="AJ3098" s="93"/>
    </row>
    <row r="3099" spans="30:36" ht="18">
      <c r="AD3099" s="93"/>
      <c r="AE3099" s="214"/>
      <c r="AF3099" s="93"/>
      <c r="AG3099" s="93"/>
      <c r="AH3099" s="93"/>
      <c r="AI3099" s="93"/>
      <c r="AJ3099" s="93"/>
    </row>
    <row r="3100" spans="30:36" ht="18">
      <c r="AD3100" s="93"/>
      <c r="AE3100" s="214"/>
      <c r="AF3100" s="93"/>
      <c r="AG3100" s="93"/>
      <c r="AH3100" s="93"/>
      <c r="AI3100" s="93"/>
      <c r="AJ3100" s="93"/>
    </row>
    <row r="3101" spans="30:36" ht="18">
      <c r="AD3101" s="93"/>
      <c r="AE3101" s="214"/>
      <c r="AF3101" s="93"/>
      <c r="AG3101" s="93"/>
      <c r="AH3101" s="93"/>
      <c r="AI3101" s="93"/>
      <c r="AJ3101" s="93"/>
    </row>
    <row r="3102" spans="30:36" ht="18">
      <c r="AD3102" s="93"/>
      <c r="AE3102" s="214"/>
      <c r="AF3102" s="93"/>
      <c r="AG3102" s="93"/>
      <c r="AH3102" s="93"/>
      <c r="AI3102" s="93"/>
      <c r="AJ3102" s="93"/>
    </row>
    <row r="3103" spans="30:36" ht="18">
      <c r="AD3103" s="93"/>
      <c r="AE3103" s="214"/>
      <c r="AF3103" s="93"/>
      <c r="AG3103" s="93"/>
      <c r="AH3103" s="93"/>
      <c r="AI3103" s="93"/>
      <c r="AJ3103" s="93"/>
    </row>
    <row r="3104" spans="30:36" ht="18">
      <c r="AD3104" s="93"/>
      <c r="AE3104" s="214"/>
      <c r="AF3104" s="93"/>
      <c r="AG3104" s="93"/>
      <c r="AH3104" s="93"/>
      <c r="AI3104" s="93"/>
      <c r="AJ3104" s="93"/>
    </row>
    <row r="3105" spans="30:36" ht="18">
      <c r="AD3105" s="93"/>
      <c r="AE3105" s="214"/>
      <c r="AF3105" s="93"/>
      <c r="AG3105" s="93"/>
      <c r="AH3105" s="93"/>
      <c r="AI3105" s="93"/>
      <c r="AJ3105" s="93"/>
    </row>
    <row r="3106" spans="30:36" ht="18">
      <c r="AD3106" s="93"/>
      <c r="AE3106" s="214"/>
      <c r="AF3106" s="93"/>
      <c r="AG3106" s="93"/>
      <c r="AH3106" s="93"/>
      <c r="AI3106" s="93"/>
      <c r="AJ3106" s="93"/>
    </row>
    <row r="3107" spans="30:36" ht="18">
      <c r="AD3107" s="93"/>
      <c r="AE3107" s="214"/>
      <c r="AF3107" s="93"/>
      <c r="AG3107" s="93"/>
      <c r="AH3107" s="93"/>
      <c r="AI3107" s="93"/>
      <c r="AJ3107" s="93"/>
    </row>
    <row r="3108" spans="30:36" ht="18">
      <c r="AD3108" s="93"/>
      <c r="AE3108" s="214"/>
      <c r="AF3108" s="93"/>
      <c r="AG3108" s="93"/>
      <c r="AH3108" s="93"/>
      <c r="AI3108" s="93"/>
      <c r="AJ3108" s="93"/>
    </row>
    <row r="3109" spans="30:36" ht="18">
      <c r="AD3109" s="93"/>
      <c r="AE3109" s="214"/>
      <c r="AF3109" s="93"/>
      <c r="AG3109" s="93"/>
      <c r="AH3109" s="93"/>
      <c r="AI3109" s="93"/>
      <c r="AJ3109" s="93"/>
    </row>
    <row r="3110" spans="30:36" ht="18">
      <c r="AD3110" s="93"/>
      <c r="AE3110" s="214"/>
      <c r="AF3110" s="93"/>
      <c r="AG3110" s="93"/>
      <c r="AH3110" s="93"/>
      <c r="AI3110" s="93"/>
      <c r="AJ3110" s="93"/>
    </row>
    <row r="3111" spans="30:36" ht="18">
      <c r="AD3111" s="93"/>
      <c r="AE3111" s="215"/>
      <c r="AF3111" s="93"/>
      <c r="AG3111" s="93"/>
      <c r="AH3111" s="93"/>
      <c r="AI3111" s="93"/>
      <c r="AJ3111" s="93"/>
    </row>
    <row r="3112" spans="30:36" ht="18">
      <c r="AD3112" s="93"/>
      <c r="AE3112" s="214"/>
      <c r="AF3112" s="93"/>
      <c r="AG3112" s="93"/>
      <c r="AH3112" s="93"/>
      <c r="AI3112" s="93"/>
      <c r="AJ3112" s="93"/>
    </row>
    <row r="3113" spans="30:36" ht="18">
      <c r="AD3113" s="93"/>
      <c r="AE3113" s="214"/>
      <c r="AF3113" s="93"/>
      <c r="AG3113" s="93"/>
      <c r="AH3113" s="93"/>
      <c r="AI3113" s="93"/>
      <c r="AJ3113" s="93"/>
    </row>
    <row r="3114" spans="30:36" ht="18">
      <c r="AD3114" s="93"/>
      <c r="AE3114" s="214"/>
      <c r="AF3114" s="93"/>
      <c r="AG3114" s="93"/>
      <c r="AH3114" s="93"/>
      <c r="AI3114" s="93"/>
      <c r="AJ3114" s="93"/>
    </row>
    <row r="3115" spans="30:36" ht="18">
      <c r="AD3115" s="93"/>
      <c r="AE3115" s="214"/>
      <c r="AF3115" s="93"/>
      <c r="AG3115" s="93"/>
      <c r="AH3115" s="93"/>
      <c r="AI3115" s="93"/>
      <c r="AJ3115" s="93"/>
    </row>
    <row r="3116" spans="30:36" ht="18">
      <c r="AD3116" s="93"/>
      <c r="AE3116" s="214"/>
      <c r="AF3116" s="93"/>
      <c r="AG3116" s="93"/>
      <c r="AH3116" s="93"/>
      <c r="AI3116" s="93"/>
      <c r="AJ3116" s="93"/>
    </row>
    <row r="3117" spans="30:36" ht="18">
      <c r="AD3117" s="93"/>
      <c r="AE3117" s="214"/>
      <c r="AF3117" s="93"/>
      <c r="AG3117" s="93"/>
      <c r="AH3117" s="93"/>
      <c r="AI3117" s="93"/>
      <c r="AJ3117" s="93"/>
    </row>
    <row r="3118" spans="30:36" ht="18">
      <c r="AD3118" s="93"/>
      <c r="AE3118" s="214"/>
      <c r="AF3118" s="93"/>
      <c r="AG3118" s="93"/>
      <c r="AH3118" s="93"/>
      <c r="AI3118" s="93"/>
      <c r="AJ3118" s="93"/>
    </row>
    <row r="3119" spans="30:36" ht="18">
      <c r="AD3119" s="93"/>
      <c r="AE3119" s="214"/>
      <c r="AF3119" s="93"/>
      <c r="AG3119" s="93"/>
      <c r="AH3119" s="93"/>
      <c r="AI3119" s="93"/>
      <c r="AJ3119" s="93"/>
    </row>
    <row r="3120" spans="30:36" ht="18">
      <c r="AD3120" s="93"/>
      <c r="AE3120" s="214"/>
      <c r="AF3120" s="93"/>
      <c r="AG3120" s="93"/>
      <c r="AH3120" s="93"/>
      <c r="AI3120" s="93"/>
      <c r="AJ3120" s="93"/>
    </row>
    <row r="3121" spans="30:36" ht="18">
      <c r="AD3121" s="93"/>
      <c r="AE3121" s="214"/>
      <c r="AF3121" s="93"/>
      <c r="AG3121" s="93"/>
      <c r="AH3121" s="93"/>
      <c r="AI3121" s="93"/>
      <c r="AJ3121" s="93"/>
    </row>
    <row r="3122" spans="30:36" ht="18">
      <c r="AD3122" s="93"/>
      <c r="AE3122" s="214"/>
      <c r="AF3122" s="93"/>
      <c r="AG3122" s="93"/>
      <c r="AH3122" s="93"/>
      <c r="AI3122" s="93"/>
      <c r="AJ3122" s="93"/>
    </row>
    <row r="3123" spans="30:36" ht="18">
      <c r="AD3123" s="93"/>
      <c r="AE3123" s="214"/>
      <c r="AF3123" s="93"/>
      <c r="AG3123" s="93"/>
      <c r="AH3123" s="93"/>
      <c r="AI3123" s="93"/>
      <c r="AJ3123" s="93"/>
    </row>
    <row r="3124" spans="30:36" ht="18">
      <c r="AD3124" s="93"/>
      <c r="AE3124" s="214"/>
      <c r="AF3124" s="93"/>
      <c r="AG3124" s="93"/>
      <c r="AH3124" s="93"/>
      <c r="AI3124" s="93"/>
      <c r="AJ3124" s="93"/>
    </row>
    <row r="3125" spans="30:36" ht="18">
      <c r="AD3125" s="93"/>
      <c r="AE3125" s="214"/>
      <c r="AF3125" s="93"/>
      <c r="AG3125" s="93"/>
      <c r="AH3125" s="93"/>
      <c r="AI3125" s="93"/>
      <c r="AJ3125" s="93"/>
    </row>
    <row r="3126" spans="30:36" ht="18">
      <c r="AD3126" s="93"/>
      <c r="AE3126" s="214"/>
      <c r="AF3126" s="93"/>
      <c r="AG3126" s="93"/>
      <c r="AH3126" s="93"/>
      <c r="AI3126" s="93"/>
      <c r="AJ3126" s="93"/>
    </row>
    <row r="3127" spans="30:36" ht="18">
      <c r="AD3127" s="93"/>
      <c r="AE3127" s="214"/>
      <c r="AF3127" s="93"/>
      <c r="AG3127" s="93"/>
      <c r="AH3127" s="93"/>
      <c r="AI3127" s="93"/>
      <c r="AJ3127" s="93"/>
    </row>
    <row r="3128" spans="30:36" ht="18">
      <c r="AD3128" s="93"/>
      <c r="AE3128" s="214"/>
      <c r="AF3128" s="93"/>
      <c r="AG3128" s="93"/>
      <c r="AH3128" s="93"/>
      <c r="AI3128" s="93"/>
      <c r="AJ3128" s="93"/>
    </row>
    <row r="3129" spans="30:36" ht="18">
      <c r="AD3129" s="93"/>
      <c r="AE3129" s="214"/>
      <c r="AF3129" s="93"/>
      <c r="AG3129" s="93"/>
      <c r="AH3129" s="93"/>
      <c r="AI3129" s="93"/>
      <c r="AJ3129" s="93"/>
    </row>
    <row r="3130" spans="30:36" ht="18">
      <c r="AD3130" s="93"/>
      <c r="AE3130" s="214"/>
      <c r="AF3130" s="93"/>
      <c r="AG3130" s="93"/>
      <c r="AH3130" s="93"/>
      <c r="AI3130" s="93"/>
      <c r="AJ3130" s="93"/>
    </row>
    <row r="3131" spans="30:36" ht="18">
      <c r="AD3131" s="93"/>
      <c r="AE3131" s="214"/>
      <c r="AF3131" s="93"/>
      <c r="AG3131" s="93"/>
      <c r="AH3131" s="93"/>
      <c r="AI3131" s="93"/>
      <c r="AJ3131" s="93"/>
    </row>
    <row r="3132" spans="30:36" ht="18">
      <c r="AD3132" s="93"/>
      <c r="AE3132" s="214"/>
      <c r="AF3132" s="93"/>
      <c r="AG3132" s="93"/>
      <c r="AH3132" s="93"/>
      <c r="AI3132" s="93"/>
      <c r="AJ3132" s="93"/>
    </row>
    <row r="3133" spans="30:36" ht="18">
      <c r="AD3133" s="93"/>
      <c r="AE3133" s="214"/>
      <c r="AF3133" s="93"/>
      <c r="AG3133" s="93"/>
      <c r="AH3133" s="93"/>
      <c r="AI3133" s="93"/>
      <c r="AJ3133" s="93"/>
    </row>
    <row r="3134" spans="30:36" ht="18">
      <c r="AD3134" s="93"/>
      <c r="AE3134" s="214"/>
      <c r="AF3134" s="93"/>
      <c r="AG3134" s="93"/>
      <c r="AH3134" s="93"/>
      <c r="AI3134" s="93"/>
      <c r="AJ3134" s="93"/>
    </row>
    <row r="3135" spans="30:36" ht="18">
      <c r="AD3135" s="93"/>
      <c r="AE3135" s="214"/>
      <c r="AF3135" s="93"/>
      <c r="AG3135" s="93"/>
      <c r="AH3135" s="93"/>
      <c r="AI3135" s="93"/>
      <c r="AJ3135" s="93"/>
    </row>
    <row r="3136" spans="30:36" ht="18">
      <c r="AD3136" s="93"/>
      <c r="AE3136" s="214"/>
      <c r="AF3136" s="93"/>
      <c r="AG3136" s="93"/>
      <c r="AH3136" s="93"/>
      <c r="AI3136" s="93"/>
      <c r="AJ3136" s="93"/>
    </row>
    <row r="3137" spans="30:36" ht="18">
      <c r="AD3137" s="93"/>
      <c r="AE3137" s="214"/>
      <c r="AF3137" s="93"/>
      <c r="AG3137" s="93"/>
      <c r="AH3137" s="93"/>
      <c r="AI3137" s="93"/>
      <c r="AJ3137" s="93"/>
    </row>
    <row r="3138" spans="30:36" ht="18">
      <c r="AD3138" s="93"/>
      <c r="AE3138" s="214"/>
      <c r="AF3138" s="93"/>
      <c r="AG3138" s="93"/>
      <c r="AH3138" s="93"/>
      <c r="AI3138" s="93"/>
      <c r="AJ3138" s="93"/>
    </row>
    <row r="3139" spans="30:36" ht="18">
      <c r="AD3139" s="93"/>
      <c r="AE3139" s="214"/>
      <c r="AF3139" s="93"/>
      <c r="AG3139" s="93"/>
      <c r="AH3139" s="93"/>
      <c r="AI3139" s="93"/>
      <c r="AJ3139" s="93"/>
    </row>
    <row r="3140" spans="30:36" ht="18">
      <c r="AD3140" s="93"/>
      <c r="AE3140" s="214"/>
      <c r="AF3140" s="93"/>
      <c r="AG3140" s="93"/>
      <c r="AH3140" s="93"/>
      <c r="AI3140" s="93"/>
      <c r="AJ3140" s="93"/>
    </row>
    <row r="3141" spans="30:36" ht="18">
      <c r="AD3141" s="93"/>
      <c r="AE3141" s="214"/>
      <c r="AF3141" s="93"/>
      <c r="AG3141" s="93"/>
      <c r="AH3141" s="93"/>
      <c r="AI3141" s="93"/>
      <c r="AJ3141" s="93"/>
    </row>
    <row r="3142" spans="30:36" ht="18">
      <c r="AD3142" s="93"/>
      <c r="AE3142" s="214"/>
      <c r="AF3142" s="93"/>
      <c r="AG3142" s="93"/>
      <c r="AH3142" s="93"/>
      <c r="AI3142" s="93"/>
      <c r="AJ3142" s="93"/>
    </row>
    <row r="3143" spans="30:36" ht="18">
      <c r="AD3143" s="93"/>
      <c r="AE3143" s="214"/>
      <c r="AF3143" s="93"/>
      <c r="AG3143" s="93"/>
      <c r="AH3143" s="93"/>
      <c r="AI3143" s="93"/>
      <c r="AJ3143" s="93"/>
    </row>
    <row r="3144" spans="30:36" ht="18">
      <c r="AD3144" s="93"/>
      <c r="AE3144" s="214"/>
      <c r="AF3144" s="93"/>
      <c r="AG3144" s="93"/>
      <c r="AH3144" s="93"/>
      <c r="AI3144" s="93"/>
      <c r="AJ3144" s="93"/>
    </row>
    <row r="3145" spans="30:36" ht="18">
      <c r="AD3145" s="93"/>
      <c r="AE3145" s="214"/>
      <c r="AF3145" s="93"/>
      <c r="AG3145" s="93"/>
      <c r="AH3145" s="93"/>
      <c r="AI3145" s="93"/>
      <c r="AJ3145" s="93"/>
    </row>
    <row r="3146" spans="30:36" ht="18">
      <c r="AD3146" s="93"/>
      <c r="AE3146" s="214"/>
      <c r="AF3146" s="93"/>
      <c r="AG3146" s="93"/>
      <c r="AH3146" s="93"/>
      <c r="AI3146" s="93"/>
      <c r="AJ3146" s="93"/>
    </row>
    <row r="3147" spans="30:36" ht="18">
      <c r="AD3147" s="93"/>
      <c r="AE3147" s="214"/>
      <c r="AF3147" s="93"/>
      <c r="AG3147" s="93"/>
      <c r="AH3147" s="93"/>
      <c r="AI3147" s="93"/>
      <c r="AJ3147" s="93"/>
    </row>
    <row r="3148" spans="30:36" ht="18">
      <c r="AD3148" s="93"/>
      <c r="AE3148" s="214"/>
      <c r="AF3148" s="93"/>
      <c r="AG3148" s="93"/>
      <c r="AH3148" s="93"/>
      <c r="AI3148" s="93"/>
      <c r="AJ3148" s="93"/>
    </row>
    <row r="3149" spans="30:36" ht="18">
      <c r="AD3149" s="93"/>
      <c r="AE3149" s="214"/>
      <c r="AF3149" s="93"/>
      <c r="AG3149" s="93"/>
      <c r="AH3149" s="93"/>
      <c r="AI3149" s="93"/>
      <c r="AJ3149" s="93"/>
    </row>
    <row r="3150" spans="30:36" ht="18">
      <c r="AD3150" s="93"/>
      <c r="AE3150" s="214"/>
      <c r="AF3150" s="93"/>
      <c r="AG3150" s="93"/>
      <c r="AH3150" s="93"/>
      <c r="AI3150" s="93"/>
      <c r="AJ3150" s="93"/>
    </row>
    <row r="3151" spans="30:36" ht="18">
      <c r="AD3151" s="93"/>
      <c r="AE3151" s="215"/>
      <c r="AF3151" s="93"/>
      <c r="AG3151" s="93"/>
      <c r="AH3151" s="93"/>
      <c r="AI3151" s="93"/>
      <c r="AJ3151" s="93"/>
    </row>
    <row r="3152" spans="30:36" ht="18">
      <c r="AD3152" s="93"/>
      <c r="AE3152" s="214"/>
      <c r="AF3152" s="93"/>
      <c r="AG3152" s="93"/>
      <c r="AH3152" s="93"/>
      <c r="AI3152" s="93"/>
      <c r="AJ3152" s="93"/>
    </row>
    <row r="3153" spans="30:36" ht="18">
      <c r="AD3153" s="93"/>
      <c r="AE3153" s="214"/>
      <c r="AF3153" s="93"/>
      <c r="AG3153" s="93"/>
      <c r="AH3153" s="93"/>
      <c r="AI3153" s="93"/>
      <c r="AJ3153" s="93"/>
    </row>
    <row r="3154" spans="30:36" ht="18">
      <c r="AD3154" s="93"/>
      <c r="AE3154" s="214"/>
      <c r="AF3154" s="93"/>
      <c r="AG3154" s="93"/>
      <c r="AH3154" s="93"/>
      <c r="AI3154" s="93"/>
      <c r="AJ3154" s="93"/>
    </row>
    <row r="3155" spans="30:36" ht="18">
      <c r="AD3155" s="93"/>
      <c r="AE3155" s="214"/>
      <c r="AF3155" s="93"/>
      <c r="AG3155" s="93"/>
      <c r="AH3155" s="93"/>
      <c r="AI3155" s="93"/>
      <c r="AJ3155" s="93"/>
    </row>
    <row r="3156" spans="30:36" ht="18">
      <c r="AD3156" s="93"/>
      <c r="AE3156" s="214"/>
      <c r="AF3156" s="93"/>
      <c r="AG3156" s="93"/>
      <c r="AH3156" s="93"/>
      <c r="AI3156" s="93"/>
      <c r="AJ3156" s="93"/>
    </row>
    <row r="3157" spans="30:36" ht="18">
      <c r="AD3157" s="93"/>
      <c r="AE3157" s="214"/>
      <c r="AF3157" s="93"/>
      <c r="AG3157" s="93"/>
      <c r="AH3157" s="93"/>
      <c r="AI3157" s="93"/>
      <c r="AJ3157" s="93"/>
    </row>
    <row r="3158" spans="30:36" ht="18">
      <c r="AD3158" s="93"/>
      <c r="AE3158" s="214"/>
      <c r="AF3158" s="93"/>
      <c r="AG3158" s="93"/>
      <c r="AH3158" s="93"/>
      <c r="AI3158" s="93"/>
      <c r="AJ3158" s="93"/>
    </row>
    <row r="3159" spans="30:36" ht="18">
      <c r="AD3159" s="93"/>
      <c r="AE3159" s="214"/>
      <c r="AF3159" s="93"/>
      <c r="AG3159" s="93"/>
      <c r="AH3159" s="93"/>
      <c r="AI3159" s="93"/>
      <c r="AJ3159" s="93"/>
    </row>
    <row r="3160" spans="30:36" ht="18">
      <c r="AD3160" s="93"/>
      <c r="AE3160" s="214"/>
      <c r="AF3160" s="93"/>
      <c r="AG3160" s="93"/>
      <c r="AH3160" s="93"/>
      <c r="AI3160" s="93"/>
      <c r="AJ3160" s="93"/>
    </row>
    <row r="3161" spans="30:36" ht="18">
      <c r="AD3161" s="93"/>
      <c r="AE3161" s="214"/>
      <c r="AF3161" s="93"/>
      <c r="AG3161" s="93"/>
      <c r="AH3161" s="93"/>
      <c r="AI3161" s="93"/>
      <c r="AJ3161" s="93"/>
    </row>
    <row r="3162" spans="30:36" ht="18">
      <c r="AD3162" s="93"/>
      <c r="AE3162" s="214"/>
      <c r="AF3162" s="93"/>
      <c r="AG3162" s="93"/>
      <c r="AH3162" s="93"/>
      <c r="AI3162" s="93"/>
      <c r="AJ3162" s="93"/>
    </row>
    <row r="3163" spans="30:36" ht="18">
      <c r="AD3163" s="93"/>
      <c r="AE3163" s="214"/>
      <c r="AF3163" s="93"/>
      <c r="AG3163" s="93"/>
      <c r="AH3163" s="93"/>
      <c r="AI3163" s="93"/>
      <c r="AJ3163" s="93"/>
    </row>
    <row r="3164" spans="30:36" ht="18">
      <c r="AD3164" s="93"/>
      <c r="AE3164" s="214"/>
      <c r="AF3164" s="93"/>
      <c r="AG3164" s="93"/>
      <c r="AH3164" s="93"/>
      <c r="AI3164" s="93"/>
      <c r="AJ3164" s="93"/>
    </row>
    <row r="3165" spans="30:36" ht="18">
      <c r="AD3165" s="93"/>
      <c r="AE3165" s="214"/>
      <c r="AF3165" s="93"/>
      <c r="AG3165" s="93"/>
      <c r="AH3165" s="93"/>
      <c r="AI3165" s="93"/>
      <c r="AJ3165" s="93"/>
    </row>
    <row r="3166" spans="30:36" ht="18">
      <c r="AD3166" s="93"/>
      <c r="AE3166" s="214"/>
      <c r="AF3166" s="93"/>
      <c r="AG3166" s="93"/>
      <c r="AH3166" s="93"/>
      <c r="AI3166" s="93"/>
      <c r="AJ3166" s="93"/>
    </row>
    <row r="3167" spans="30:36" ht="18">
      <c r="AD3167" s="93"/>
      <c r="AE3167" s="214"/>
      <c r="AF3167" s="93"/>
      <c r="AG3167" s="93"/>
      <c r="AH3167" s="93"/>
      <c r="AI3167" s="93"/>
      <c r="AJ3167" s="93"/>
    </row>
    <row r="3168" spans="30:36" ht="18">
      <c r="AD3168" s="93"/>
      <c r="AE3168" s="215"/>
      <c r="AF3168" s="93"/>
      <c r="AG3168" s="93"/>
      <c r="AH3168" s="93"/>
      <c r="AI3168" s="93"/>
      <c r="AJ3168" s="93"/>
    </row>
    <row r="3169" spans="30:36" ht="18">
      <c r="AD3169" s="93"/>
      <c r="AE3169" s="214"/>
      <c r="AF3169" s="93"/>
      <c r="AG3169" s="93"/>
      <c r="AH3169" s="93"/>
      <c r="AI3169" s="93"/>
      <c r="AJ3169" s="93"/>
    </row>
    <row r="3170" spans="30:36" ht="18">
      <c r="AD3170" s="93"/>
      <c r="AE3170" s="214"/>
      <c r="AF3170" s="93"/>
      <c r="AG3170" s="93"/>
      <c r="AH3170" s="93"/>
      <c r="AI3170" s="93"/>
      <c r="AJ3170" s="93"/>
    </row>
    <row r="3171" spans="30:36" ht="18">
      <c r="AD3171" s="93"/>
      <c r="AE3171" s="214"/>
      <c r="AF3171" s="93"/>
      <c r="AG3171" s="93"/>
      <c r="AH3171" s="93"/>
      <c r="AI3171" s="93"/>
      <c r="AJ3171" s="93"/>
    </row>
    <row r="3172" spans="30:36" ht="18">
      <c r="AD3172" s="93"/>
      <c r="AE3172" s="214"/>
      <c r="AF3172" s="93"/>
      <c r="AG3172" s="93"/>
      <c r="AH3172" s="93"/>
      <c r="AI3172" s="93"/>
      <c r="AJ3172" s="93"/>
    </row>
    <row r="3173" spans="30:36" ht="18">
      <c r="AD3173" s="93"/>
      <c r="AE3173" s="214"/>
      <c r="AF3173" s="93"/>
      <c r="AG3173" s="93"/>
      <c r="AH3173" s="93"/>
      <c r="AI3173" s="93"/>
      <c r="AJ3173" s="93"/>
    </row>
    <row r="3174" spans="30:36" ht="18">
      <c r="AD3174" s="93"/>
      <c r="AE3174" s="214"/>
      <c r="AF3174" s="93"/>
      <c r="AG3174" s="93"/>
      <c r="AH3174" s="93"/>
      <c r="AI3174" s="93"/>
      <c r="AJ3174" s="93"/>
    </row>
    <row r="3175" spans="30:36" ht="18">
      <c r="AD3175" s="93"/>
      <c r="AE3175" s="214"/>
      <c r="AF3175" s="93"/>
      <c r="AG3175" s="93"/>
      <c r="AH3175" s="93"/>
      <c r="AI3175" s="93"/>
      <c r="AJ3175" s="93"/>
    </row>
    <row r="3176" spans="30:36" ht="18">
      <c r="AD3176" s="93"/>
      <c r="AE3176" s="214"/>
      <c r="AF3176" s="93"/>
      <c r="AG3176" s="93"/>
      <c r="AH3176" s="93"/>
      <c r="AI3176" s="93"/>
      <c r="AJ3176" s="93"/>
    </row>
    <row r="3177" spans="30:36" ht="18">
      <c r="AD3177" s="93"/>
      <c r="AE3177" s="214"/>
      <c r="AF3177" s="93"/>
      <c r="AG3177" s="93"/>
      <c r="AH3177" s="93"/>
      <c r="AI3177" s="93"/>
      <c r="AJ3177" s="93"/>
    </row>
    <row r="3178" spans="30:36" ht="18">
      <c r="AD3178" s="93"/>
      <c r="AE3178" s="214"/>
      <c r="AF3178" s="93"/>
      <c r="AG3178" s="93"/>
      <c r="AH3178" s="93"/>
      <c r="AI3178" s="93"/>
      <c r="AJ3178" s="93"/>
    </row>
    <row r="3179" spans="30:36" ht="18">
      <c r="AD3179" s="93"/>
      <c r="AE3179" s="214"/>
      <c r="AF3179" s="93"/>
      <c r="AG3179" s="93"/>
      <c r="AH3179" s="93"/>
      <c r="AI3179" s="93"/>
      <c r="AJ3179" s="93"/>
    </row>
    <row r="3180" spans="30:36" ht="18">
      <c r="AD3180" s="93"/>
      <c r="AE3180" s="214"/>
      <c r="AF3180" s="93"/>
      <c r="AG3180" s="93"/>
      <c r="AH3180" s="93"/>
      <c r="AI3180" s="93"/>
      <c r="AJ3180" s="93"/>
    </row>
    <row r="3181" spans="30:36" ht="18">
      <c r="AD3181" s="93"/>
      <c r="AE3181" s="214"/>
      <c r="AF3181" s="93"/>
      <c r="AG3181" s="93"/>
      <c r="AH3181" s="93"/>
      <c r="AI3181" s="93"/>
      <c r="AJ3181" s="93"/>
    </row>
    <row r="3182" spans="30:36" ht="18">
      <c r="AD3182" s="93"/>
      <c r="AE3182" s="214"/>
      <c r="AF3182" s="93"/>
      <c r="AG3182" s="93"/>
      <c r="AH3182" s="93"/>
      <c r="AI3182" s="93"/>
      <c r="AJ3182" s="93"/>
    </row>
    <row r="3183" spans="30:36" ht="18">
      <c r="AD3183" s="93"/>
      <c r="AE3183" s="214"/>
      <c r="AF3183" s="93"/>
      <c r="AG3183" s="93"/>
      <c r="AH3183" s="93"/>
      <c r="AI3183" s="93"/>
      <c r="AJ3183" s="93"/>
    </row>
    <row r="3184" spans="30:36" ht="18">
      <c r="AD3184" s="93"/>
      <c r="AE3184" s="214"/>
      <c r="AF3184" s="93"/>
      <c r="AG3184" s="93"/>
      <c r="AH3184" s="93"/>
      <c r="AI3184" s="93"/>
      <c r="AJ3184" s="93"/>
    </row>
    <row r="3185" spans="30:36" ht="18">
      <c r="AD3185" s="93"/>
      <c r="AE3185" s="214"/>
      <c r="AF3185" s="93"/>
      <c r="AG3185" s="93"/>
      <c r="AH3185" s="93"/>
      <c r="AI3185" s="93"/>
      <c r="AJ3185" s="93"/>
    </row>
    <row r="3186" spans="30:36" ht="18">
      <c r="AD3186" s="93"/>
      <c r="AE3186" s="214"/>
      <c r="AF3186" s="93"/>
      <c r="AG3186" s="93"/>
      <c r="AH3186" s="93"/>
      <c r="AI3186" s="93"/>
      <c r="AJ3186" s="93"/>
    </row>
    <row r="3187" spans="30:36" ht="18">
      <c r="AD3187" s="93"/>
      <c r="AE3187" s="214"/>
      <c r="AF3187" s="93"/>
      <c r="AG3187" s="93"/>
      <c r="AH3187" s="93"/>
      <c r="AI3187" s="93"/>
      <c r="AJ3187" s="93"/>
    </row>
    <row r="3188" spans="30:36" ht="18">
      <c r="AD3188" s="93"/>
      <c r="AE3188" s="214"/>
      <c r="AF3188" s="93"/>
      <c r="AG3188" s="93"/>
      <c r="AH3188" s="93"/>
      <c r="AI3188" s="93"/>
      <c r="AJ3188" s="93"/>
    </row>
    <row r="3189" spans="30:36" ht="18">
      <c r="AD3189" s="93"/>
      <c r="AE3189" s="215"/>
      <c r="AF3189" s="93"/>
      <c r="AG3189" s="93"/>
      <c r="AH3189" s="93"/>
      <c r="AI3189" s="93"/>
      <c r="AJ3189" s="93"/>
    </row>
    <row r="3190" spans="30:36" ht="18">
      <c r="AD3190" s="93"/>
      <c r="AE3190" s="215"/>
      <c r="AF3190" s="93"/>
      <c r="AG3190" s="93"/>
      <c r="AH3190" s="93"/>
      <c r="AI3190" s="93"/>
      <c r="AJ3190" s="93"/>
    </row>
    <row r="3191" spans="30:36" ht="18">
      <c r="AD3191" s="93"/>
      <c r="AE3191" s="214"/>
      <c r="AF3191" s="93"/>
      <c r="AG3191" s="93"/>
      <c r="AH3191" s="93"/>
      <c r="AI3191" s="93"/>
      <c r="AJ3191" s="93"/>
    </row>
    <row r="3192" spans="30:36" ht="18">
      <c r="AD3192" s="93"/>
      <c r="AE3192" s="214"/>
      <c r="AF3192" s="93"/>
      <c r="AG3192" s="93"/>
      <c r="AH3192" s="93"/>
      <c r="AI3192" s="93"/>
      <c r="AJ3192" s="93"/>
    </row>
    <row r="3193" spans="30:36" ht="18">
      <c r="AD3193" s="93"/>
      <c r="AE3193" s="214"/>
      <c r="AF3193" s="93"/>
      <c r="AG3193" s="93"/>
      <c r="AH3193" s="93"/>
      <c r="AI3193" s="93"/>
      <c r="AJ3193" s="93"/>
    </row>
    <row r="3194" spans="30:36" ht="18">
      <c r="AD3194" s="93"/>
      <c r="AE3194" s="215"/>
      <c r="AF3194" s="93"/>
      <c r="AG3194" s="93"/>
      <c r="AH3194" s="93"/>
      <c r="AI3194" s="93"/>
      <c r="AJ3194" s="93"/>
    </row>
    <row r="3195" spans="30:36" ht="18">
      <c r="AD3195" s="93"/>
      <c r="AE3195" s="215"/>
      <c r="AF3195" s="93"/>
      <c r="AG3195" s="93"/>
      <c r="AH3195" s="93"/>
      <c r="AI3195" s="93"/>
      <c r="AJ3195" s="93"/>
    </row>
    <row r="3196" spans="30:36" ht="18">
      <c r="AD3196" s="93"/>
      <c r="AE3196" s="214"/>
      <c r="AF3196" s="93"/>
      <c r="AG3196" s="93"/>
      <c r="AH3196" s="93"/>
      <c r="AI3196" s="93"/>
      <c r="AJ3196" s="93"/>
    </row>
    <row r="3197" spans="30:36" ht="18">
      <c r="AD3197" s="93"/>
      <c r="AE3197" s="214"/>
      <c r="AF3197" s="93"/>
      <c r="AG3197" s="93"/>
      <c r="AH3197" s="93"/>
      <c r="AI3197" s="93"/>
      <c r="AJ3197" s="93"/>
    </row>
    <row r="3198" spans="30:36" ht="18">
      <c r="AD3198" s="93"/>
      <c r="AE3198" s="214"/>
      <c r="AF3198" s="93"/>
      <c r="AG3198" s="93"/>
      <c r="AH3198" s="93"/>
      <c r="AI3198" s="93"/>
      <c r="AJ3198" s="93"/>
    </row>
    <row r="3199" spans="30:36" ht="18">
      <c r="AD3199" s="93"/>
      <c r="AE3199" s="214"/>
      <c r="AF3199" s="93"/>
      <c r="AG3199" s="93"/>
      <c r="AH3199" s="93"/>
      <c r="AI3199" s="93"/>
      <c r="AJ3199" s="93"/>
    </row>
    <row r="3200" spans="30:36" ht="18">
      <c r="AD3200" s="93"/>
      <c r="AE3200" s="214"/>
      <c r="AF3200" s="93"/>
      <c r="AG3200" s="93"/>
      <c r="AH3200" s="93"/>
      <c r="AI3200" s="93"/>
      <c r="AJ3200" s="93"/>
    </row>
    <row r="3201" spans="30:36" ht="18">
      <c r="AD3201" s="93"/>
      <c r="AE3201" s="214"/>
      <c r="AF3201" s="93"/>
      <c r="AG3201" s="93"/>
      <c r="AH3201" s="93"/>
      <c r="AI3201" s="93"/>
      <c r="AJ3201" s="93"/>
    </row>
    <row r="3202" spans="30:36" ht="18">
      <c r="AD3202" s="93"/>
      <c r="AE3202" s="214"/>
      <c r="AF3202" s="93"/>
      <c r="AG3202" s="93"/>
      <c r="AH3202" s="93"/>
      <c r="AI3202" s="93"/>
      <c r="AJ3202" s="93"/>
    </row>
    <row r="3203" spans="30:36" ht="18">
      <c r="AD3203" s="93"/>
      <c r="AE3203" s="215"/>
      <c r="AF3203" s="93"/>
      <c r="AG3203" s="93"/>
      <c r="AH3203" s="93"/>
      <c r="AI3203" s="93"/>
      <c r="AJ3203" s="93"/>
    </row>
    <row r="3204" spans="30:36" ht="18">
      <c r="AD3204" s="93"/>
      <c r="AE3204" s="215"/>
      <c r="AF3204" s="93"/>
      <c r="AG3204" s="93"/>
      <c r="AH3204" s="93"/>
      <c r="AI3204" s="93"/>
      <c r="AJ3204" s="93"/>
    </row>
    <row r="3205" spans="30:36" ht="18">
      <c r="AD3205" s="93"/>
      <c r="AE3205" s="214"/>
      <c r="AF3205" s="93"/>
      <c r="AG3205" s="93"/>
      <c r="AH3205" s="93"/>
      <c r="AI3205" s="93"/>
      <c r="AJ3205" s="93"/>
    </row>
    <row r="3206" spans="30:36" ht="18">
      <c r="AD3206" s="93"/>
      <c r="AE3206" s="214"/>
      <c r="AF3206" s="93"/>
      <c r="AG3206" s="93"/>
      <c r="AH3206" s="93"/>
      <c r="AI3206" s="93"/>
      <c r="AJ3206" s="93"/>
    </row>
    <row r="3207" spans="30:36" ht="18">
      <c r="AD3207" s="93"/>
      <c r="AE3207" s="214"/>
      <c r="AF3207" s="93"/>
      <c r="AG3207" s="93"/>
      <c r="AH3207" s="93"/>
      <c r="AI3207" s="93"/>
      <c r="AJ3207" s="93"/>
    </row>
    <row r="3208" spans="30:36" ht="18">
      <c r="AD3208" s="93"/>
      <c r="AE3208" s="214"/>
      <c r="AF3208" s="93"/>
      <c r="AG3208" s="93"/>
      <c r="AH3208" s="93"/>
      <c r="AI3208" s="93"/>
      <c r="AJ3208" s="93"/>
    </row>
    <row r="3209" spans="30:36" ht="18">
      <c r="AD3209" s="93"/>
      <c r="AE3209" s="214"/>
      <c r="AF3209" s="93"/>
      <c r="AG3209" s="93"/>
      <c r="AH3209" s="93"/>
      <c r="AI3209" s="93"/>
      <c r="AJ3209" s="93"/>
    </row>
    <row r="3210" spans="30:36" ht="18">
      <c r="AD3210" s="93"/>
      <c r="AE3210" s="214"/>
      <c r="AF3210" s="93"/>
      <c r="AG3210" s="93"/>
      <c r="AH3210" s="93"/>
      <c r="AI3210" s="93"/>
      <c r="AJ3210" s="93"/>
    </row>
    <row r="3211" spans="30:36" ht="18">
      <c r="AD3211" s="93"/>
      <c r="AE3211" s="214"/>
      <c r="AF3211" s="93"/>
      <c r="AG3211" s="93"/>
      <c r="AH3211" s="93"/>
      <c r="AI3211" s="93"/>
      <c r="AJ3211" s="93"/>
    </row>
    <row r="3212" spans="30:36" ht="18">
      <c r="AD3212" s="93"/>
      <c r="AE3212" s="214"/>
      <c r="AF3212" s="93"/>
      <c r="AG3212" s="93"/>
      <c r="AH3212" s="93"/>
      <c r="AI3212" s="93"/>
      <c r="AJ3212" s="93"/>
    </row>
    <row r="3213" spans="30:36" ht="18">
      <c r="AD3213" s="93"/>
      <c r="AE3213" s="215"/>
      <c r="AF3213" s="93"/>
      <c r="AG3213" s="93"/>
      <c r="AH3213" s="93"/>
      <c r="AI3213" s="93"/>
      <c r="AJ3213" s="93"/>
    </row>
    <row r="3214" spans="30:36" ht="18">
      <c r="AD3214" s="93"/>
      <c r="AE3214" s="215"/>
      <c r="AF3214" s="93"/>
      <c r="AG3214" s="93"/>
      <c r="AH3214" s="93"/>
      <c r="AI3214" s="93"/>
      <c r="AJ3214" s="93"/>
    </row>
    <row r="3215" spans="30:36" ht="18">
      <c r="AD3215" s="93"/>
      <c r="AE3215" s="215"/>
      <c r="AF3215" s="93"/>
      <c r="AG3215" s="93"/>
      <c r="AH3215" s="93"/>
      <c r="AI3215" s="93"/>
      <c r="AJ3215" s="93"/>
    </row>
    <row r="3216" spans="30:36" ht="18">
      <c r="AD3216" s="93"/>
      <c r="AE3216" s="214"/>
      <c r="AF3216" s="93"/>
      <c r="AG3216" s="93"/>
      <c r="AH3216" s="93"/>
      <c r="AI3216" s="93"/>
      <c r="AJ3216" s="93"/>
    </row>
    <row r="3217" spans="30:36" ht="18">
      <c r="AD3217" s="93"/>
      <c r="AE3217" s="214"/>
      <c r="AF3217" s="93"/>
      <c r="AG3217" s="93"/>
      <c r="AH3217" s="93"/>
      <c r="AI3217" s="93"/>
      <c r="AJ3217" s="93"/>
    </row>
    <row r="3218" spans="30:36" ht="18">
      <c r="AD3218" s="93"/>
      <c r="AE3218" s="215"/>
      <c r="AF3218" s="93"/>
      <c r="AG3218" s="93"/>
      <c r="AH3218" s="93"/>
      <c r="AI3218" s="93"/>
      <c r="AJ3218" s="93"/>
    </row>
    <row r="3219" spans="30:36" ht="18">
      <c r="AD3219" s="93"/>
      <c r="AE3219" s="214"/>
      <c r="AF3219" s="93"/>
      <c r="AG3219" s="93"/>
      <c r="AH3219" s="93"/>
      <c r="AI3219" s="93"/>
      <c r="AJ3219" s="93"/>
    </row>
    <row r="3220" spans="30:36" ht="18">
      <c r="AD3220" s="93"/>
      <c r="AE3220" s="214"/>
      <c r="AF3220" s="93"/>
      <c r="AG3220" s="93"/>
      <c r="AH3220" s="93"/>
      <c r="AI3220" s="93"/>
      <c r="AJ3220" s="93"/>
    </row>
    <row r="3221" spans="30:36" ht="18">
      <c r="AD3221" s="93"/>
      <c r="AE3221" s="215"/>
      <c r="AF3221" s="93"/>
      <c r="AG3221" s="93"/>
      <c r="AH3221" s="93"/>
      <c r="AI3221" s="93"/>
      <c r="AJ3221" s="93"/>
    </row>
    <row r="3222" spans="30:36" ht="18">
      <c r="AD3222" s="93"/>
      <c r="AE3222" s="214"/>
      <c r="AF3222" s="93"/>
      <c r="AG3222" s="93"/>
      <c r="AH3222" s="93"/>
      <c r="AI3222" s="93"/>
      <c r="AJ3222" s="93"/>
    </row>
    <row r="3223" spans="30:36" ht="18">
      <c r="AD3223" s="93"/>
      <c r="AE3223" s="214"/>
      <c r="AF3223" s="93"/>
      <c r="AG3223" s="93"/>
      <c r="AH3223" s="93"/>
      <c r="AI3223" s="93"/>
      <c r="AJ3223" s="93"/>
    </row>
    <row r="3224" spans="30:36" ht="18">
      <c r="AD3224" s="93"/>
      <c r="AE3224" s="215"/>
      <c r="AF3224" s="93"/>
      <c r="AG3224" s="93"/>
      <c r="AH3224" s="93"/>
      <c r="AI3224" s="93"/>
      <c r="AJ3224" s="93"/>
    </row>
    <row r="3225" spans="30:36" ht="18">
      <c r="AD3225" s="93"/>
      <c r="AE3225" s="214"/>
      <c r="AF3225" s="93"/>
      <c r="AG3225" s="93"/>
      <c r="AH3225" s="93"/>
      <c r="AI3225" s="93"/>
      <c r="AJ3225" s="93"/>
    </row>
    <row r="3226" spans="30:36" ht="18">
      <c r="AD3226" s="93"/>
      <c r="AE3226" s="214"/>
      <c r="AF3226" s="93"/>
      <c r="AG3226" s="93"/>
      <c r="AH3226" s="93"/>
      <c r="AI3226" s="93"/>
      <c r="AJ3226" s="93"/>
    </row>
    <row r="3227" spans="30:36" ht="18">
      <c r="AD3227" s="93"/>
      <c r="AE3227" s="215"/>
      <c r="AF3227" s="93"/>
      <c r="AG3227" s="93"/>
      <c r="AH3227" s="93"/>
      <c r="AI3227" s="93"/>
      <c r="AJ3227" s="93"/>
    </row>
    <row r="3228" spans="30:36" ht="18">
      <c r="AD3228" s="93"/>
      <c r="AE3228" s="214"/>
      <c r="AF3228" s="93"/>
      <c r="AG3228" s="93"/>
      <c r="AH3228" s="93"/>
      <c r="AI3228" s="93"/>
      <c r="AJ3228" s="93"/>
    </row>
    <row r="3229" spans="30:36" ht="18">
      <c r="AD3229" s="93"/>
      <c r="AE3229" s="214"/>
      <c r="AF3229" s="93"/>
      <c r="AG3229" s="93"/>
      <c r="AH3229" s="93"/>
      <c r="AI3229" s="93"/>
      <c r="AJ3229" s="93"/>
    </row>
    <row r="3230" spans="30:36" ht="18">
      <c r="AD3230" s="93"/>
      <c r="AE3230" s="214"/>
      <c r="AF3230" s="93"/>
      <c r="AG3230" s="93"/>
      <c r="AH3230" s="93"/>
      <c r="AI3230" s="93"/>
      <c r="AJ3230" s="93"/>
    </row>
    <row r="3231" spans="30:36" ht="18">
      <c r="AD3231" s="93"/>
      <c r="AE3231" s="214"/>
      <c r="AF3231" s="93"/>
      <c r="AG3231" s="93"/>
      <c r="AH3231" s="93"/>
      <c r="AI3231" s="93"/>
      <c r="AJ3231" s="93"/>
    </row>
    <row r="3232" spans="30:36" ht="18">
      <c r="AD3232" s="93"/>
      <c r="AE3232" s="215"/>
      <c r="AF3232" s="93"/>
      <c r="AG3232" s="93"/>
      <c r="AH3232" s="93"/>
      <c r="AI3232" s="93"/>
      <c r="AJ3232" s="93"/>
    </row>
    <row r="3233" spans="30:36" ht="18">
      <c r="AD3233" s="93"/>
      <c r="AE3233" s="215"/>
      <c r="AF3233" s="93"/>
      <c r="AG3233" s="93"/>
      <c r="AH3233" s="93"/>
      <c r="AI3233" s="93"/>
      <c r="AJ3233" s="93"/>
    </row>
    <row r="3234" spans="30:36" ht="18">
      <c r="AD3234" s="93"/>
      <c r="AE3234" s="214"/>
      <c r="AF3234" s="93"/>
      <c r="AG3234" s="93"/>
      <c r="AH3234" s="93"/>
      <c r="AI3234" s="93"/>
      <c r="AJ3234" s="93"/>
    </row>
    <row r="3235" spans="30:36" ht="18">
      <c r="AD3235" s="93"/>
      <c r="AE3235" s="214"/>
      <c r="AF3235" s="93"/>
      <c r="AG3235" s="93"/>
      <c r="AH3235" s="93"/>
      <c r="AI3235" s="93"/>
      <c r="AJ3235" s="93"/>
    </row>
    <row r="3236" spans="30:36" ht="18">
      <c r="AD3236" s="93"/>
      <c r="AE3236" s="214"/>
      <c r="AF3236" s="93"/>
      <c r="AG3236" s="93"/>
      <c r="AH3236" s="93"/>
      <c r="AI3236" s="93"/>
      <c r="AJ3236" s="93"/>
    </row>
    <row r="3237" spans="30:36" ht="18">
      <c r="AD3237" s="93"/>
      <c r="AE3237" s="215"/>
      <c r="AF3237" s="93"/>
      <c r="AG3237" s="93"/>
      <c r="AH3237" s="93"/>
      <c r="AI3237" s="93"/>
      <c r="AJ3237" s="93"/>
    </row>
    <row r="3238" spans="30:36" ht="18">
      <c r="AD3238" s="93"/>
      <c r="AE3238" s="214"/>
      <c r="AF3238" s="93"/>
      <c r="AG3238" s="93"/>
      <c r="AH3238" s="93"/>
      <c r="AI3238" s="93"/>
      <c r="AJ3238" s="93"/>
    </row>
    <row r="3239" spans="30:36" ht="18">
      <c r="AD3239" s="93"/>
      <c r="AE3239" s="214"/>
      <c r="AF3239" s="93"/>
      <c r="AG3239" s="93"/>
      <c r="AH3239" s="93"/>
      <c r="AI3239" s="93"/>
      <c r="AJ3239" s="93"/>
    </row>
    <row r="3240" spans="30:36" ht="18">
      <c r="AD3240" s="93"/>
      <c r="AE3240" s="214"/>
      <c r="AF3240" s="93"/>
      <c r="AG3240" s="93"/>
      <c r="AH3240" s="93"/>
      <c r="AI3240" s="93"/>
      <c r="AJ3240" s="93"/>
    </row>
    <row r="3241" spans="30:36" ht="18">
      <c r="AD3241" s="93"/>
      <c r="AE3241" s="214"/>
      <c r="AF3241" s="93"/>
      <c r="AG3241" s="93"/>
      <c r="AH3241" s="93"/>
      <c r="AI3241" s="93"/>
      <c r="AJ3241" s="93"/>
    </row>
    <row r="3242" spans="30:36" ht="18">
      <c r="AD3242" s="93"/>
      <c r="AE3242" s="214"/>
      <c r="AF3242" s="93"/>
      <c r="AG3242" s="93"/>
      <c r="AH3242" s="93"/>
      <c r="AI3242" s="93"/>
      <c r="AJ3242" s="93"/>
    </row>
    <row r="3243" spans="30:36" ht="18">
      <c r="AD3243" s="93"/>
      <c r="AE3243" s="214"/>
      <c r="AF3243" s="93"/>
      <c r="AG3243" s="93"/>
      <c r="AH3243" s="93"/>
      <c r="AI3243" s="93"/>
      <c r="AJ3243" s="93"/>
    </row>
    <row r="3244" spans="30:36" ht="18">
      <c r="AD3244" s="93"/>
      <c r="AE3244" s="214"/>
      <c r="AF3244" s="93"/>
      <c r="AG3244" s="93"/>
      <c r="AH3244" s="93"/>
      <c r="AI3244" s="93"/>
      <c r="AJ3244" s="93"/>
    </row>
    <row r="3245" spans="30:36" ht="18">
      <c r="AD3245" s="93"/>
      <c r="AE3245" s="214"/>
      <c r="AF3245" s="93"/>
      <c r="AG3245" s="93"/>
      <c r="AH3245" s="93"/>
      <c r="AI3245" s="93"/>
      <c r="AJ3245" s="93"/>
    </row>
    <row r="3246" spans="30:36" ht="18">
      <c r="AD3246" s="93"/>
      <c r="AE3246" s="214"/>
      <c r="AF3246" s="93"/>
      <c r="AG3246" s="93"/>
      <c r="AH3246" s="93"/>
      <c r="AI3246" s="93"/>
      <c r="AJ3246" s="93"/>
    </row>
    <row r="3247" spans="30:36" ht="18">
      <c r="AD3247" s="93"/>
      <c r="AE3247" s="215"/>
      <c r="AF3247" s="93"/>
      <c r="AG3247" s="93"/>
      <c r="AH3247" s="93"/>
      <c r="AI3247" s="93"/>
      <c r="AJ3247" s="93"/>
    </row>
    <row r="3248" spans="30:36" ht="18">
      <c r="AD3248" s="93"/>
      <c r="AE3248" s="215"/>
      <c r="AF3248" s="93"/>
      <c r="AG3248" s="93"/>
      <c r="AH3248" s="93"/>
      <c r="AI3248" s="93"/>
      <c r="AJ3248" s="93"/>
    </row>
    <row r="3249" spans="30:36" ht="18">
      <c r="AD3249" s="93"/>
      <c r="AE3249" s="214"/>
      <c r="AF3249" s="93"/>
      <c r="AG3249" s="93"/>
      <c r="AH3249" s="93"/>
      <c r="AI3249" s="93"/>
      <c r="AJ3249" s="93"/>
    </row>
    <row r="3250" spans="30:36" ht="18">
      <c r="AD3250" s="93"/>
      <c r="AE3250" s="214"/>
      <c r="AF3250" s="93"/>
      <c r="AG3250" s="93"/>
      <c r="AH3250" s="93"/>
      <c r="AI3250" s="93"/>
      <c r="AJ3250" s="93"/>
    </row>
    <row r="3251" spans="30:36" ht="18">
      <c r="AD3251" s="93"/>
      <c r="AE3251" s="214"/>
      <c r="AF3251" s="93"/>
      <c r="AG3251" s="93"/>
      <c r="AH3251" s="93"/>
      <c r="AI3251" s="93"/>
      <c r="AJ3251" s="93"/>
    </row>
    <row r="3252" spans="30:36" ht="18">
      <c r="AD3252" s="93"/>
      <c r="AE3252" s="215"/>
      <c r="AF3252" s="93"/>
      <c r="AG3252" s="93"/>
      <c r="AH3252" s="93"/>
      <c r="AI3252" s="93"/>
      <c r="AJ3252" s="93"/>
    </row>
    <row r="3253" spans="30:36" ht="18">
      <c r="AD3253" s="93"/>
      <c r="AE3253" s="214"/>
      <c r="AF3253" s="93"/>
      <c r="AG3253" s="93"/>
      <c r="AH3253" s="93"/>
      <c r="AI3253" s="93"/>
      <c r="AJ3253" s="93"/>
    </row>
    <row r="3254" spans="30:36" ht="18">
      <c r="AD3254" s="93"/>
      <c r="AE3254" s="214"/>
      <c r="AF3254" s="93"/>
      <c r="AG3254" s="93"/>
      <c r="AH3254" s="93"/>
      <c r="AI3254" s="93"/>
      <c r="AJ3254" s="93"/>
    </row>
    <row r="3255" spans="30:36" ht="18">
      <c r="AD3255" s="93"/>
      <c r="AE3255" s="214"/>
      <c r="AF3255" s="93"/>
      <c r="AG3255" s="93"/>
      <c r="AH3255" s="93"/>
      <c r="AI3255" s="93"/>
      <c r="AJ3255" s="93"/>
    </row>
    <row r="3256" spans="30:36" ht="18">
      <c r="AD3256" s="93"/>
      <c r="AE3256" s="214"/>
      <c r="AF3256" s="93"/>
      <c r="AG3256" s="93"/>
      <c r="AH3256" s="93"/>
      <c r="AI3256" s="93"/>
      <c r="AJ3256" s="93"/>
    </row>
    <row r="3257" spans="30:36" ht="18">
      <c r="AD3257" s="93"/>
      <c r="AE3257" s="214"/>
      <c r="AF3257" s="93"/>
      <c r="AG3257" s="93"/>
      <c r="AH3257" s="93"/>
      <c r="AI3257" s="93"/>
      <c r="AJ3257" s="93"/>
    </row>
    <row r="3258" spans="30:36" ht="18">
      <c r="AD3258" s="93"/>
      <c r="AE3258" s="214"/>
      <c r="AF3258" s="93"/>
      <c r="AG3258" s="93"/>
      <c r="AH3258" s="93"/>
      <c r="AI3258" s="93"/>
      <c r="AJ3258" s="93"/>
    </row>
    <row r="3259" spans="30:36" ht="18">
      <c r="AD3259" s="93"/>
      <c r="AE3259" s="214"/>
      <c r="AF3259" s="93"/>
      <c r="AG3259" s="93"/>
      <c r="AH3259" s="93"/>
      <c r="AI3259" s="93"/>
      <c r="AJ3259" s="93"/>
    </row>
    <row r="3260" spans="30:36" ht="18">
      <c r="AD3260" s="93"/>
      <c r="AE3260" s="214"/>
      <c r="AF3260" s="93"/>
      <c r="AG3260" s="93"/>
      <c r="AH3260" s="93"/>
      <c r="AI3260" s="93"/>
      <c r="AJ3260" s="93"/>
    </row>
    <row r="3261" spans="30:36" ht="18">
      <c r="AD3261" s="93"/>
      <c r="AE3261" s="214"/>
      <c r="AF3261" s="93"/>
      <c r="AG3261" s="93"/>
      <c r="AH3261" s="93"/>
      <c r="AI3261" s="93"/>
      <c r="AJ3261" s="93"/>
    </row>
    <row r="3262" spans="30:36" ht="18">
      <c r="AD3262" s="93"/>
      <c r="AE3262" s="214"/>
      <c r="AF3262" s="93"/>
      <c r="AG3262" s="93"/>
      <c r="AH3262" s="93"/>
      <c r="AI3262" s="93"/>
      <c r="AJ3262" s="93"/>
    </row>
    <row r="3263" spans="30:36" ht="18">
      <c r="AD3263" s="93"/>
      <c r="AE3263" s="214"/>
      <c r="AF3263" s="93"/>
      <c r="AG3263" s="93"/>
      <c r="AH3263" s="93"/>
      <c r="AI3263" s="93"/>
      <c r="AJ3263" s="93"/>
    </row>
    <row r="3264" spans="30:36" ht="18">
      <c r="AD3264" s="93"/>
      <c r="AE3264" s="214"/>
      <c r="AF3264" s="93"/>
      <c r="AG3264" s="93"/>
      <c r="AH3264" s="93"/>
      <c r="AI3264" s="93"/>
      <c r="AJ3264" s="93"/>
    </row>
    <row r="3265" spans="30:36" ht="18">
      <c r="AD3265" s="93"/>
      <c r="AE3265" s="214"/>
      <c r="AF3265" s="93"/>
      <c r="AG3265" s="93"/>
      <c r="AH3265" s="93"/>
      <c r="AI3265" s="93"/>
      <c r="AJ3265" s="93"/>
    </row>
    <row r="3266" spans="30:36" ht="18">
      <c r="AD3266" s="93"/>
      <c r="AE3266" s="214"/>
      <c r="AF3266" s="93"/>
      <c r="AG3266" s="93"/>
      <c r="AH3266" s="93"/>
      <c r="AI3266" s="93"/>
      <c r="AJ3266" s="93"/>
    </row>
    <row r="3267" spans="30:36" ht="18">
      <c r="AD3267" s="93"/>
      <c r="AE3267" s="214"/>
      <c r="AF3267" s="93"/>
      <c r="AG3267" s="93"/>
      <c r="AH3267" s="93"/>
      <c r="AI3267" s="93"/>
      <c r="AJ3267" s="93"/>
    </row>
    <row r="3268" spans="30:36" ht="18">
      <c r="AD3268" s="93"/>
      <c r="AE3268" s="214"/>
      <c r="AF3268" s="93"/>
      <c r="AG3268" s="93"/>
      <c r="AH3268" s="93"/>
      <c r="AI3268" s="93"/>
      <c r="AJ3268" s="93"/>
    </row>
    <row r="3269" spans="30:36" ht="18">
      <c r="AD3269" s="93"/>
      <c r="AE3269" s="214"/>
      <c r="AF3269" s="93"/>
      <c r="AG3269" s="93"/>
      <c r="AH3269" s="93"/>
      <c r="AI3269" s="93"/>
      <c r="AJ3269" s="93"/>
    </row>
    <row r="3270" spans="30:36" ht="18">
      <c r="AD3270" s="93"/>
      <c r="AE3270" s="214"/>
      <c r="AF3270" s="93"/>
      <c r="AG3270" s="93"/>
      <c r="AH3270" s="93"/>
      <c r="AI3270" s="93"/>
      <c r="AJ3270" s="93"/>
    </row>
    <row r="3271" spans="30:36" ht="18">
      <c r="AD3271" s="93"/>
      <c r="AE3271" s="214"/>
      <c r="AF3271" s="93"/>
      <c r="AG3271" s="93"/>
      <c r="AH3271" s="93"/>
      <c r="AI3271" s="93"/>
      <c r="AJ3271" s="93"/>
    </row>
    <row r="3272" spans="30:36" ht="18">
      <c r="AD3272" s="93"/>
      <c r="AE3272" s="214"/>
      <c r="AF3272" s="93"/>
      <c r="AG3272" s="93"/>
      <c r="AH3272" s="93"/>
      <c r="AI3272" s="93"/>
      <c r="AJ3272" s="93"/>
    </row>
    <row r="3273" spans="30:36" ht="18">
      <c r="AD3273" s="93"/>
      <c r="AE3273" s="214"/>
      <c r="AF3273" s="93"/>
      <c r="AG3273" s="93"/>
      <c r="AH3273" s="93"/>
      <c r="AI3273" s="93"/>
      <c r="AJ3273" s="93"/>
    </row>
    <row r="3274" spans="30:36" ht="18">
      <c r="AD3274" s="93"/>
      <c r="AE3274" s="214"/>
      <c r="AF3274" s="93"/>
      <c r="AG3274" s="93"/>
      <c r="AH3274" s="93"/>
      <c r="AI3274" s="93"/>
      <c r="AJ3274" s="93"/>
    </row>
    <row r="3275" spans="30:36" ht="18">
      <c r="AD3275" s="93"/>
      <c r="AE3275" s="214"/>
      <c r="AF3275" s="93"/>
      <c r="AG3275" s="93"/>
      <c r="AH3275" s="93"/>
      <c r="AI3275" s="93"/>
      <c r="AJ3275" s="93"/>
    </row>
    <row r="3276" spans="30:36" ht="18">
      <c r="AD3276" s="93"/>
      <c r="AE3276" s="214"/>
      <c r="AF3276" s="93"/>
      <c r="AG3276" s="93"/>
      <c r="AH3276" s="93"/>
      <c r="AI3276" s="93"/>
      <c r="AJ3276" s="93"/>
    </row>
    <row r="3277" spans="30:36" ht="18">
      <c r="AD3277" s="93"/>
      <c r="AE3277" s="215"/>
      <c r="AF3277" s="93"/>
      <c r="AG3277" s="93"/>
      <c r="AH3277" s="93"/>
      <c r="AI3277" s="93"/>
      <c r="AJ3277" s="93"/>
    </row>
    <row r="3278" spans="30:36" ht="18">
      <c r="AD3278" s="93"/>
      <c r="AE3278" s="215"/>
      <c r="AF3278" s="93"/>
      <c r="AG3278" s="93"/>
      <c r="AH3278" s="93"/>
      <c r="AI3278" s="93"/>
      <c r="AJ3278" s="93"/>
    </row>
    <row r="3279" spans="30:36" ht="18">
      <c r="AD3279" s="93"/>
      <c r="AE3279" s="214"/>
      <c r="AF3279" s="93"/>
      <c r="AG3279" s="93"/>
      <c r="AH3279" s="93"/>
      <c r="AI3279" s="93"/>
      <c r="AJ3279" s="93"/>
    </row>
    <row r="3280" spans="30:36" ht="18">
      <c r="AD3280" s="93"/>
      <c r="AE3280" s="214"/>
      <c r="AF3280" s="93"/>
      <c r="AG3280" s="93"/>
      <c r="AH3280" s="93"/>
      <c r="AI3280" s="93"/>
      <c r="AJ3280" s="93"/>
    </row>
    <row r="3281" spans="30:36" ht="18">
      <c r="AD3281" s="93"/>
      <c r="AE3281" s="214"/>
      <c r="AF3281" s="93"/>
      <c r="AG3281" s="93"/>
      <c r="AH3281" s="93"/>
      <c r="AI3281" s="93"/>
      <c r="AJ3281" s="93"/>
    </row>
    <row r="3282" spans="30:36" ht="18">
      <c r="AD3282" s="93"/>
      <c r="AE3282" s="214"/>
      <c r="AF3282" s="93"/>
      <c r="AG3282" s="93"/>
      <c r="AH3282" s="93"/>
      <c r="AI3282" s="93"/>
      <c r="AJ3282" s="93"/>
    </row>
    <row r="3283" spans="30:36" ht="18">
      <c r="AD3283" s="93"/>
      <c r="AE3283" s="214"/>
      <c r="AF3283" s="93"/>
      <c r="AG3283" s="93"/>
      <c r="AH3283" s="93"/>
      <c r="AI3283" s="93"/>
      <c r="AJ3283" s="93"/>
    </row>
    <row r="3284" spans="30:36" ht="18">
      <c r="AD3284" s="93"/>
      <c r="AE3284" s="214"/>
      <c r="AF3284" s="93"/>
      <c r="AG3284" s="93"/>
      <c r="AH3284" s="93"/>
      <c r="AI3284" s="93"/>
      <c r="AJ3284" s="93"/>
    </row>
    <row r="3285" spans="30:36" ht="18">
      <c r="AD3285" s="93"/>
      <c r="AE3285" s="214"/>
      <c r="AF3285" s="93"/>
      <c r="AG3285" s="93"/>
      <c r="AH3285" s="93"/>
      <c r="AI3285" s="93"/>
      <c r="AJ3285" s="93"/>
    </row>
    <row r="3286" spans="30:36" ht="18">
      <c r="AD3286" s="93"/>
      <c r="AE3286" s="214"/>
      <c r="AF3286" s="93"/>
      <c r="AG3286" s="93"/>
      <c r="AH3286" s="93"/>
      <c r="AI3286" s="93"/>
      <c r="AJ3286" s="93"/>
    </row>
    <row r="3287" spans="30:36" ht="18">
      <c r="AD3287" s="93"/>
      <c r="AE3287" s="214"/>
      <c r="AF3287" s="93"/>
      <c r="AG3287" s="93"/>
      <c r="AH3287" s="93"/>
      <c r="AI3287" s="93"/>
      <c r="AJ3287" s="93"/>
    </row>
    <row r="3288" spans="30:36" ht="18">
      <c r="AD3288" s="93"/>
      <c r="AE3288" s="214"/>
      <c r="AF3288" s="93"/>
      <c r="AG3288" s="93"/>
      <c r="AH3288" s="93"/>
      <c r="AI3288" s="93"/>
      <c r="AJ3288" s="93"/>
    </row>
    <row r="3289" spans="30:36" ht="18">
      <c r="AD3289" s="93"/>
      <c r="AE3289" s="214"/>
      <c r="AF3289" s="93"/>
      <c r="AG3289" s="93"/>
      <c r="AH3289" s="93"/>
      <c r="AI3289" s="93"/>
      <c r="AJ3289" s="93"/>
    </row>
    <row r="3290" spans="30:36" ht="18">
      <c r="AD3290" s="93"/>
      <c r="AE3290" s="214"/>
      <c r="AF3290" s="93"/>
      <c r="AG3290" s="93"/>
      <c r="AH3290" s="93"/>
      <c r="AI3290" s="93"/>
      <c r="AJ3290" s="93"/>
    </row>
    <row r="3291" spans="30:36" ht="18">
      <c r="AD3291" s="93"/>
      <c r="AE3291" s="214"/>
      <c r="AF3291" s="93"/>
      <c r="AG3291" s="93"/>
      <c r="AH3291" s="93"/>
      <c r="AI3291" s="93"/>
      <c r="AJ3291" s="93"/>
    </row>
    <row r="3292" spans="30:36" ht="18">
      <c r="AD3292" s="93"/>
      <c r="AE3292" s="214"/>
      <c r="AF3292" s="93"/>
      <c r="AG3292" s="93"/>
      <c r="AH3292" s="93"/>
      <c r="AI3292" s="93"/>
      <c r="AJ3292" s="93"/>
    </row>
    <row r="3293" spans="30:36" ht="18">
      <c r="AD3293" s="93"/>
      <c r="AE3293" s="214"/>
      <c r="AF3293" s="93"/>
      <c r="AG3293" s="93"/>
      <c r="AH3293" s="93"/>
      <c r="AI3293" s="93"/>
      <c r="AJ3293" s="93"/>
    </row>
    <row r="3294" spans="30:36" ht="18">
      <c r="AD3294" s="93"/>
      <c r="AE3294" s="214"/>
      <c r="AF3294" s="93"/>
      <c r="AG3294" s="93"/>
      <c r="AH3294" s="93"/>
      <c r="AI3294" s="93"/>
      <c r="AJ3294" s="93"/>
    </row>
    <row r="3295" spans="30:36" ht="18">
      <c r="AD3295" s="93"/>
      <c r="AE3295" s="214"/>
      <c r="AF3295" s="93"/>
      <c r="AG3295" s="93"/>
      <c r="AH3295" s="93"/>
      <c r="AI3295" s="93"/>
      <c r="AJ3295" s="93"/>
    </row>
    <row r="3296" spans="30:36" ht="18">
      <c r="AD3296" s="93"/>
      <c r="AE3296" s="214"/>
      <c r="AF3296" s="93"/>
      <c r="AG3296" s="93"/>
      <c r="AH3296" s="93"/>
      <c r="AI3296" s="93"/>
      <c r="AJ3296" s="93"/>
    </row>
    <row r="3297" spans="30:36" ht="18">
      <c r="AD3297" s="93"/>
      <c r="AE3297" s="215"/>
      <c r="AF3297" s="93"/>
      <c r="AG3297" s="93"/>
      <c r="AH3297" s="93"/>
      <c r="AI3297" s="93"/>
      <c r="AJ3297" s="93"/>
    </row>
    <row r="3298" spans="30:36" ht="18">
      <c r="AD3298" s="93"/>
      <c r="AE3298" s="214"/>
      <c r="AF3298" s="93"/>
      <c r="AG3298" s="93"/>
      <c r="AH3298" s="93"/>
      <c r="AI3298" s="93"/>
      <c r="AJ3298" s="93"/>
    </row>
    <row r="3299" spans="30:36" ht="18">
      <c r="AD3299" s="93"/>
      <c r="AE3299" s="214"/>
      <c r="AF3299" s="93"/>
      <c r="AG3299" s="93"/>
      <c r="AH3299" s="93"/>
      <c r="AI3299" s="93"/>
      <c r="AJ3299" s="93"/>
    </row>
    <row r="3300" spans="30:36" ht="18">
      <c r="AD3300" s="93"/>
      <c r="AE3300" s="214"/>
      <c r="AF3300" s="93"/>
      <c r="AG3300" s="93"/>
      <c r="AH3300" s="93"/>
      <c r="AI3300" s="93"/>
      <c r="AJ3300" s="93"/>
    </row>
    <row r="3301" spans="30:36" ht="18">
      <c r="AD3301" s="93"/>
      <c r="AE3301" s="214"/>
      <c r="AF3301" s="93"/>
      <c r="AG3301" s="93"/>
      <c r="AH3301" s="93"/>
      <c r="AI3301" s="93"/>
      <c r="AJ3301" s="93"/>
    </row>
    <row r="3302" spans="30:36" ht="18">
      <c r="AD3302" s="93"/>
      <c r="AE3302" s="214"/>
      <c r="AF3302" s="93"/>
      <c r="AG3302" s="93"/>
      <c r="AH3302" s="93"/>
      <c r="AI3302" s="93"/>
      <c r="AJ3302" s="93"/>
    </row>
    <row r="3303" spans="30:36" ht="18">
      <c r="AD3303" s="93"/>
      <c r="AE3303" s="214"/>
      <c r="AF3303" s="93"/>
      <c r="AG3303" s="93"/>
      <c r="AH3303" s="93"/>
      <c r="AI3303" s="93"/>
      <c r="AJ3303" s="93"/>
    </row>
    <row r="3304" spans="30:36" ht="18">
      <c r="AD3304" s="93"/>
      <c r="AE3304" s="214"/>
      <c r="AF3304" s="93"/>
      <c r="AG3304" s="93"/>
      <c r="AH3304" s="93"/>
      <c r="AI3304" s="93"/>
      <c r="AJ3304" s="93"/>
    </row>
    <row r="3305" spans="30:36" ht="18">
      <c r="AD3305" s="93"/>
      <c r="AE3305" s="214"/>
      <c r="AF3305" s="93"/>
      <c r="AG3305" s="93"/>
      <c r="AH3305" s="93"/>
      <c r="AI3305" s="93"/>
      <c r="AJ3305" s="93"/>
    </row>
    <row r="3306" spans="30:36" ht="18">
      <c r="AD3306" s="93"/>
      <c r="AE3306" s="214"/>
      <c r="AF3306" s="93"/>
      <c r="AG3306" s="93"/>
      <c r="AH3306" s="93"/>
      <c r="AI3306" s="93"/>
      <c r="AJ3306" s="93"/>
    </row>
    <row r="3307" spans="30:36" ht="18">
      <c r="AD3307" s="93"/>
      <c r="AE3307" s="214"/>
      <c r="AF3307" s="93"/>
      <c r="AG3307" s="93"/>
      <c r="AH3307" s="93"/>
      <c r="AI3307" s="93"/>
      <c r="AJ3307" s="93"/>
    </row>
    <row r="3308" spans="30:36" ht="18">
      <c r="AD3308" s="93"/>
      <c r="AE3308" s="215"/>
      <c r="AF3308" s="93"/>
      <c r="AG3308" s="93"/>
      <c r="AH3308" s="93"/>
      <c r="AI3308" s="93"/>
      <c r="AJ3308" s="93"/>
    </row>
    <row r="3309" spans="30:36" ht="18">
      <c r="AD3309" s="93"/>
      <c r="AE3309" s="215"/>
      <c r="AF3309" s="93"/>
      <c r="AG3309" s="93"/>
      <c r="AH3309" s="93"/>
      <c r="AI3309" s="93"/>
      <c r="AJ3309" s="93"/>
    </row>
    <row r="3310" spans="30:36" ht="18">
      <c r="AD3310" s="93"/>
      <c r="AE3310" s="214"/>
      <c r="AF3310" s="93"/>
      <c r="AG3310" s="93"/>
      <c r="AH3310" s="93"/>
      <c r="AI3310" s="93"/>
      <c r="AJ3310" s="93"/>
    </row>
    <row r="3311" spans="30:36" ht="18">
      <c r="AD3311" s="93"/>
      <c r="AE3311" s="214"/>
      <c r="AF3311" s="93"/>
      <c r="AG3311" s="93"/>
      <c r="AH3311" s="93"/>
      <c r="AI3311" s="93"/>
      <c r="AJ3311" s="93"/>
    </row>
    <row r="3312" spans="30:36" ht="18">
      <c r="AD3312" s="93"/>
      <c r="AE3312" s="214"/>
      <c r="AF3312" s="93"/>
      <c r="AG3312" s="93"/>
      <c r="AH3312" s="93"/>
      <c r="AI3312" s="93"/>
      <c r="AJ3312" s="93"/>
    </row>
    <row r="3313" spans="30:36" ht="18">
      <c r="AD3313" s="93"/>
      <c r="AE3313" s="215"/>
      <c r="AF3313" s="93"/>
      <c r="AG3313" s="93"/>
      <c r="AH3313" s="93"/>
      <c r="AI3313" s="93"/>
      <c r="AJ3313" s="93"/>
    </row>
    <row r="3314" spans="30:36" ht="18">
      <c r="AD3314" s="93"/>
      <c r="AE3314" s="214"/>
      <c r="AF3314" s="93"/>
      <c r="AG3314" s="93"/>
      <c r="AH3314" s="93"/>
      <c r="AI3314" s="93"/>
      <c r="AJ3314" s="93"/>
    </row>
    <row r="3315" spans="30:36" ht="18">
      <c r="AD3315" s="93"/>
      <c r="AE3315" s="214"/>
      <c r="AF3315" s="93"/>
      <c r="AG3315" s="93"/>
      <c r="AH3315" s="93"/>
      <c r="AI3315" s="93"/>
      <c r="AJ3315" s="93"/>
    </row>
    <row r="3316" spans="30:36" ht="18">
      <c r="AD3316" s="93"/>
      <c r="AE3316" s="214"/>
      <c r="AF3316" s="93"/>
      <c r="AG3316" s="93"/>
      <c r="AH3316" s="93"/>
      <c r="AI3316" s="93"/>
      <c r="AJ3316" s="93"/>
    </row>
    <row r="3317" spans="30:36" ht="18">
      <c r="AD3317" s="93"/>
      <c r="AE3317" s="214"/>
      <c r="AF3317" s="93"/>
      <c r="AG3317" s="93"/>
      <c r="AH3317" s="93"/>
      <c r="AI3317" s="93"/>
      <c r="AJ3317" s="93"/>
    </row>
    <row r="3318" spans="30:36" ht="18">
      <c r="AD3318" s="93"/>
      <c r="AE3318" s="214"/>
      <c r="AF3318" s="93"/>
      <c r="AG3318" s="93"/>
      <c r="AH3318" s="93"/>
      <c r="AI3318" s="93"/>
      <c r="AJ3318" s="93"/>
    </row>
    <row r="3319" spans="30:36" ht="18">
      <c r="AD3319" s="93"/>
      <c r="AE3319" s="214"/>
      <c r="AF3319" s="93"/>
      <c r="AG3319" s="93"/>
      <c r="AH3319" s="93"/>
      <c r="AI3319" s="93"/>
      <c r="AJ3319" s="93"/>
    </row>
    <row r="3320" spans="30:36" ht="18">
      <c r="AD3320" s="93"/>
      <c r="AE3320" s="214"/>
      <c r="AF3320" s="93"/>
      <c r="AG3320" s="93"/>
      <c r="AH3320" s="93"/>
      <c r="AI3320" s="93"/>
      <c r="AJ3320" s="93"/>
    </row>
    <row r="3321" spans="30:36" ht="18">
      <c r="AD3321" s="93"/>
      <c r="AE3321" s="215"/>
      <c r="AF3321" s="93"/>
      <c r="AG3321" s="93"/>
      <c r="AH3321" s="93"/>
      <c r="AI3321" s="93"/>
      <c r="AJ3321" s="93"/>
    </row>
    <row r="3322" spans="30:36" ht="18">
      <c r="AD3322" s="93"/>
      <c r="AE3322" s="214"/>
      <c r="AF3322" s="93"/>
      <c r="AG3322" s="93"/>
      <c r="AH3322" s="93"/>
      <c r="AI3322" s="93"/>
      <c r="AJ3322" s="93"/>
    </row>
    <row r="3323" spans="30:36" ht="18">
      <c r="AD3323" s="93"/>
      <c r="AE3323" s="214"/>
      <c r="AF3323" s="93"/>
      <c r="AG3323" s="93"/>
      <c r="AH3323" s="93"/>
      <c r="AI3323" s="93"/>
      <c r="AJ3323" s="93"/>
    </row>
    <row r="3324" spans="30:36" ht="18">
      <c r="AD3324" s="93"/>
      <c r="AE3324" s="215"/>
      <c r="AF3324" s="93"/>
      <c r="AG3324" s="93"/>
      <c r="AH3324" s="93"/>
      <c r="AI3324" s="93"/>
      <c r="AJ3324" s="93"/>
    </row>
    <row r="3325" spans="30:36" ht="18">
      <c r="AD3325" s="93"/>
      <c r="AE3325" s="214"/>
      <c r="AF3325" s="93"/>
      <c r="AG3325" s="93"/>
      <c r="AH3325" s="93"/>
      <c r="AI3325" s="93"/>
      <c r="AJ3325" s="93"/>
    </row>
    <row r="3326" spans="30:36" ht="18">
      <c r="AD3326" s="93"/>
      <c r="AE3326" s="214"/>
      <c r="AF3326" s="93"/>
      <c r="AG3326" s="93"/>
      <c r="AH3326" s="93"/>
      <c r="AI3326" s="93"/>
      <c r="AJ3326" s="93"/>
    </row>
    <row r="3327" spans="30:36" ht="18">
      <c r="AD3327" s="93"/>
      <c r="AE3327" s="214"/>
      <c r="AF3327" s="93"/>
      <c r="AG3327" s="93"/>
      <c r="AH3327" s="93"/>
      <c r="AI3327" s="93"/>
      <c r="AJ3327" s="93"/>
    </row>
    <row r="3328" spans="30:36" ht="18">
      <c r="AD3328" s="93"/>
      <c r="AE3328" s="214"/>
      <c r="AF3328" s="93"/>
      <c r="AG3328" s="93"/>
      <c r="AH3328" s="93"/>
      <c r="AI3328" s="93"/>
      <c r="AJ3328" s="93"/>
    </row>
    <row r="3329" spans="30:36" ht="18">
      <c r="AD3329" s="93"/>
      <c r="AE3329" s="214"/>
      <c r="AF3329" s="93"/>
      <c r="AG3329" s="93"/>
      <c r="AH3329" s="93"/>
      <c r="AI3329" s="93"/>
      <c r="AJ3329" s="93"/>
    </row>
    <row r="3330" spans="30:36" ht="18">
      <c r="AD3330" s="93"/>
      <c r="AE3330" s="214"/>
      <c r="AF3330" s="93"/>
      <c r="AG3330" s="93"/>
      <c r="AH3330" s="93"/>
      <c r="AI3330" s="93"/>
      <c r="AJ3330" s="93"/>
    </row>
    <row r="3331" spans="30:36" ht="18">
      <c r="AD3331" s="93"/>
      <c r="AE3331" s="214"/>
      <c r="AF3331" s="93"/>
      <c r="AG3331" s="93"/>
      <c r="AH3331" s="93"/>
      <c r="AI3331" s="93"/>
      <c r="AJ3331" s="93"/>
    </row>
    <row r="3332" spans="30:36" ht="18">
      <c r="AD3332" s="93"/>
      <c r="AE3332" s="214"/>
      <c r="AF3332" s="93"/>
      <c r="AG3332" s="93"/>
      <c r="AH3332" s="93"/>
      <c r="AI3332" s="93"/>
      <c r="AJ3332" s="93"/>
    </row>
    <row r="3333" spans="30:36" ht="18">
      <c r="AD3333" s="93"/>
      <c r="AE3333" s="214"/>
      <c r="AF3333" s="93"/>
      <c r="AG3333" s="93"/>
      <c r="AH3333" s="93"/>
      <c r="AI3333" s="93"/>
      <c r="AJ3333" s="93"/>
    </row>
    <row r="3334" spans="30:36" ht="18">
      <c r="AD3334" s="93"/>
      <c r="AE3334" s="214"/>
      <c r="AF3334" s="93"/>
      <c r="AG3334" s="93"/>
      <c r="AH3334" s="93"/>
      <c r="AI3334" s="93"/>
      <c r="AJ3334" s="93"/>
    </row>
    <row r="3335" spans="30:36" ht="18">
      <c r="AD3335" s="93"/>
      <c r="AE3335" s="214"/>
      <c r="AF3335" s="93"/>
      <c r="AG3335" s="93"/>
      <c r="AH3335" s="93"/>
      <c r="AI3335" s="93"/>
      <c r="AJ3335" s="93"/>
    </row>
    <row r="3336" spans="30:36" ht="18">
      <c r="AD3336" s="93"/>
      <c r="AE3336" s="214"/>
      <c r="AF3336" s="93"/>
      <c r="AG3336" s="93"/>
      <c r="AH3336" s="93"/>
      <c r="AI3336" s="93"/>
      <c r="AJ3336" s="93"/>
    </row>
    <row r="3337" spans="30:36" ht="18">
      <c r="AD3337" s="93"/>
      <c r="AE3337" s="214"/>
      <c r="AF3337" s="93"/>
      <c r="AG3337" s="93"/>
      <c r="AH3337" s="93"/>
      <c r="AI3337" s="93"/>
      <c r="AJ3337" s="93"/>
    </row>
    <row r="3338" spans="30:36" ht="18">
      <c r="AD3338" s="93"/>
      <c r="AE3338" s="214"/>
      <c r="AF3338" s="93"/>
      <c r="AG3338" s="93"/>
      <c r="AH3338" s="93"/>
      <c r="AI3338" s="93"/>
      <c r="AJ3338" s="93"/>
    </row>
    <row r="3339" spans="30:36" ht="18">
      <c r="AD3339" s="93"/>
      <c r="AE3339" s="214"/>
      <c r="AF3339" s="93"/>
      <c r="AG3339" s="93"/>
      <c r="AH3339" s="93"/>
      <c r="AI3339" s="93"/>
      <c r="AJ3339" s="93"/>
    </row>
    <row r="3340" spans="30:36" ht="18">
      <c r="AD3340" s="93"/>
      <c r="AE3340" s="214"/>
      <c r="AF3340" s="93"/>
      <c r="AG3340" s="93"/>
      <c r="AH3340" s="93"/>
      <c r="AI3340" s="93"/>
      <c r="AJ3340" s="93"/>
    </row>
    <row r="3341" spans="30:36" ht="18">
      <c r="AD3341" s="93"/>
      <c r="AE3341" s="214"/>
      <c r="AF3341" s="93"/>
      <c r="AG3341" s="93"/>
      <c r="AH3341" s="93"/>
      <c r="AI3341" s="93"/>
      <c r="AJ3341" s="93"/>
    </row>
    <row r="3342" spans="30:36" ht="18">
      <c r="AD3342" s="93"/>
      <c r="AE3342" s="214"/>
      <c r="AF3342" s="93"/>
      <c r="AG3342" s="93"/>
      <c r="AH3342" s="93"/>
      <c r="AI3342" s="93"/>
      <c r="AJ3342" s="93"/>
    </row>
    <row r="3343" spans="30:36" ht="18">
      <c r="AD3343" s="93"/>
      <c r="AE3343" s="214"/>
      <c r="AF3343" s="93"/>
      <c r="AG3343" s="93"/>
      <c r="AH3343" s="93"/>
      <c r="AI3343" s="93"/>
      <c r="AJ3343" s="93"/>
    </row>
    <row r="3344" spans="30:36" ht="18">
      <c r="AD3344" s="93"/>
      <c r="AE3344" s="214"/>
      <c r="AF3344" s="93"/>
      <c r="AG3344" s="93"/>
      <c r="AH3344" s="93"/>
      <c r="AI3344" s="93"/>
      <c r="AJ3344" s="93"/>
    </row>
    <row r="3345" spans="30:36" ht="18">
      <c r="AD3345" s="93"/>
      <c r="AE3345" s="214"/>
      <c r="AF3345" s="93"/>
      <c r="AG3345" s="93"/>
      <c r="AH3345" s="93"/>
      <c r="AI3345" s="93"/>
      <c r="AJ3345" s="93"/>
    </row>
    <row r="3346" spans="30:36" ht="18">
      <c r="AD3346" s="93"/>
      <c r="AE3346" s="214"/>
      <c r="AF3346" s="93"/>
      <c r="AG3346" s="93"/>
      <c r="AH3346" s="93"/>
      <c r="AI3346" s="93"/>
      <c r="AJ3346" s="93"/>
    </row>
    <row r="3347" spans="30:36" ht="18">
      <c r="AD3347" s="93"/>
      <c r="AE3347" s="214"/>
      <c r="AF3347" s="93"/>
      <c r="AG3347" s="93"/>
      <c r="AH3347" s="93"/>
      <c r="AI3347" s="93"/>
      <c r="AJ3347" s="93"/>
    </row>
    <row r="3348" spans="30:36" ht="18">
      <c r="AD3348" s="93"/>
      <c r="AE3348" s="214"/>
      <c r="AF3348" s="93"/>
      <c r="AG3348" s="93"/>
      <c r="AH3348" s="93"/>
      <c r="AI3348" s="93"/>
      <c r="AJ3348" s="93"/>
    </row>
    <row r="3349" spans="30:36" ht="18">
      <c r="AD3349" s="93"/>
      <c r="AE3349" s="214"/>
      <c r="AF3349" s="93"/>
      <c r="AG3349" s="93"/>
      <c r="AH3349" s="93"/>
      <c r="AI3349" s="93"/>
      <c r="AJ3349" s="93"/>
    </row>
    <row r="3350" spans="30:36" ht="18">
      <c r="AD3350" s="93"/>
      <c r="AE3350" s="214"/>
      <c r="AF3350" s="93"/>
      <c r="AG3350" s="93"/>
      <c r="AH3350" s="93"/>
      <c r="AI3350" s="93"/>
      <c r="AJ3350" s="93"/>
    </row>
    <row r="3351" spans="30:36" ht="18">
      <c r="AD3351" s="93"/>
      <c r="AE3351" s="214"/>
      <c r="AF3351" s="93"/>
      <c r="AG3351" s="93"/>
      <c r="AH3351" s="93"/>
      <c r="AI3351" s="93"/>
      <c r="AJ3351" s="93"/>
    </row>
    <row r="3352" spans="30:36" ht="18">
      <c r="AD3352" s="93"/>
      <c r="AE3352" s="215"/>
      <c r="AF3352" s="93"/>
      <c r="AG3352" s="93"/>
      <c r="AH3352" s="93"/>
      <c r="AI3352" s="93"/>
      <c r="AJ3352" s="93"/>
    </row>
    <row r="3353" spans="30:36" ht="18">
      <c r="AD3353" s="93"/>
      <c r="AE3353" s="215"/>
      <c r="AF3353" s="93"/>
      <c r="AG3353" s="93"/>
      <c r="AH3353" s="93"/>
      <c r="AI3353" s="93"/>
      <c r="AJ3353" s="93"/>
    </row>
    <row r="3354" spans="30:36" ht="18">
      <c r="AD3354" s="93"/>
      <c r="AE3354" s="214"/>
      <c r="AF3354" s="93"/>
      <c r="AG3354" s="93"/>
      <c r="AH3354" s="93"/>
      <c r="AI3354" s="93"/>
      <c r="AJ3354" s="93"/>
    </row>
    <row r="3355" spans="30:36" ht="18">
      <c r="AD3355" s="93"/>
      <c r="AE3355" s="214"/>
      <c r="AF3355" s="93"/>
      <c r="AG3355" s="93"/>
      <c r="AH3355" s="93"/>
      <c r="AI3355" s="93"/>
      <c r="AJ3355" s="93"/>
    </row>
    <row r="3356" spans="30:36" ht="18">
      <c r="AD3356" s="93"/>
      <c r="AE3356" s="214"/>
      <c r="AF3356" s="93"/>
      <c r="AG3356" s="93"/>
      <c r="AH3356" s="93"/>
      <c r="AI3356" s="93"/>
      <c r="AJ3356" s="93"/>
    </row>
    <row r="3357" spans="30:36" ht="18">
      <c r="AD3357" s="93"/>
      <c r="AE3357" s="214"/>
      <c r="AF3357" s="93"/>
      <c r="AG3357" s="93"/>
      <c r="AH3357" s="93"/>
      <c r="AI3357" s="93"/>
      <c r="AJ3357" s="93"/>
    </row>
    <row r="3358" spans="30:36" ht="18">
      <c r="AD3358" s="93"/>
      <c r="AE3358" s="214"/>
      <c r="AF3358" s="93"/>
      <c r="AG3358" s="93"/>
      <c r="AH3358" s="93"/>
      <c r="AI3358" s="93"/>
      <c r="AJ3358" s="93"/>
    </row>
    <row r="3359" spans="30:36" ht="18">
      <c r="AD3359" s="93"/>
      <c r="AE3359" s="214"/>
      <c r="AF3359" s="93"/>
      <c r="AG3359" s="93"/>
      <c r="AH3359" s="93"/>
      <c r="AI3359" s="93"/>
      <c r="AJ3359" s="93"/>
    </row>
    <row r="3360" spans="30:36" ht="18">
      <c r="AD3360" s="93"/>
      <c r="AE3360" s="214"/>
      <c r="AF3360" s="93"/>
      <c r="AG3360" s="93"/>
      <c r="AH3360" s="93"/>
      <c r="AI3360" s="93"/>
      <c r="AJ3360" s="93"/>
    </row>
    <row r="3361" spans="30:36" ht="18">
      <c r="AD3361" s="93"/>
      <c r="AE3361" s="214"/>
      <c r="AF3361" s="93"/>
      <c r="AG3361" s="93"/>
      <c r="AH3361" s="93"/>
      <c r="AI3361" s="93"/>
      <c r="AJ3361" s="93"/>
    </row>
    <row r="3362" spans="30:36" ht="18">
      <c r="AD3362" s="93"/>
      <c r="AE3362" s="214"/>
      <c r="AF3362" s="93"/>
      <c r="AG3362" s="93"/>
      <c r="AH3362" s="93"/>
      <c r="AI3362" s="93"/>
      <c r="AJ3362" s="93"/>
    </row>
    <row r="3363" spans="30:36" ht="18">
      <c r="AD3363" s="93"/>
      <c r="AE3363" s="214"/>
      <c r="AF3363" s="93"/>
      <c r="AG3363" s="93"/>
      <c r="AH3363" s="93"/>
      <c r="AI3363" s="93"/>
      <c r="AJ3363" s="93"/>
    </row>
    <row r="3364" spans="30:36" ht="18">
      <c r="AD3364" s="93"/>
      <c r="AE3364" s="214"/>
      <c r="AF3364" s="93"/>
      <c r="AG3364" s="93"/>
      <c r="AH3364" s="93"/>
      <c r="AI3364" s="93"/>
      <c r="AJ3364" s="93"/>
    </row>
    <row r="3365" spans="30:36" ht="18">
      <c r="AD3365" s="93"/>
      <c r="AE3365" s="214"/>
      <c r="AF3365" s="93"/>
      <c r="AG3365" s="93"/>
      <c r="AH3365" s="93"/>
      <c r="AI3365" s="93"/>
      <c r="AJ3365" s="93"/>
    </row>
    <row r="3366" spans="30:36" ht="18">
      <c r="AD3366" s="93"/>
      <c r="AE3366" s="214"/>
      <c r="AF3366" s="93"/>
      <c r="AG3366" s="93"/>
      <c r="AH3366" s="93"/>
      <c r="AI3366" s="93"/>
      <c r="AJ3366" s="93"/>
    </row>
    <row r="3367" spans="30:36" ht="18">
      <c r="AD3367" s="93"/>
      <c r="AE3367" s="214"/>
      <c r="AF3367" s="93"/>
      <c r="AG3367" s="93"/>
      <c r="AH3367" s="93"/>
      <c r="AI3367" s="93"/>
      <c r="AJ3367" s="93"/>
    </row>
    <row r="3368" spans="30:36" ht="18">
      <c r="AD3368" s="93"/>
      <c r="AE3368" s="214"/>
      <c r="AF3368" s="93"/>
      <c r="AG3368" s="93"/>
      <c r="AH3368" s="93"/>
      <c r="AI3368" s="93"/>
      <c r="AJ3368" s="93"/>
    </row>
    <row r="3369" spans="30:36" ht="18">
      <c r="AD3369" s="93"/>
      <c r="AE3369" s="215"/>
      <c r="AF3369" s="93"/>
      <c r="AG3369" s="93"/>
      <c r="AH3369" s="93"/>
      <c r="AI3369" s="93"/>
      <c r="AJ3369" s="93"/>
    </row>
    <row r="3370" spans="30:36" ht="18">
      <c r="AD3370" s="93"/>
      <c r="AE3370" s="214"/>
      <c r="AF3370" s="93"/>
      <c r="AG3370" s="93"/>
      <c r="AH3370" s="93"/>
      <c r="AI3370" s="93"/>
      <c r="AJ3370" s="93"/>
    </row>
    <row r="3371" spans="30:36" ht="18">
      <c r="AD3371" s="93"/>
      <c r="AE3371" s="214"/>
      <c r="AF3371" s="93"/>
      <c r="AG3371" s="93"/>
      <c r="AH3371" s="93"/>
      <c r="AI3371" s="93"/>
      <c r="AJ3371" s="93"/>
    </row>
    <row r="3372" spans="30:36" ht="18">
      <c r="AD3372" s="93"/>
      <c r="AE3372" s="214"/>
      <c r="AF3372" s="93"/>
      <c r="AG3372" s="93"/>
      <c r="AH3372" s="93"/>
      <c r="AI3372" s="93"/>
      <c r="AJ3372" s="93"/>
    </row>
    <row r="3373" spans="30:36" ht="18">
      <c r="AD3373" s="93"/>
      <c r="AE3373" s="214"/>
      <c r="AF3373" s="93"/>
      <c r="AG3373" s="93"/>
      <c r="AH3373" s="93"/>
      <c r="AI3373" s="93"/>
      <c r="AJ3373" s="93"/>
    </row>
    <row r="3374" spans="30:36" ht="18">
      <c r="AD3374" s="93"/>
      <c r="AE3374" s="214"/>
      <c r="AF3374" s="93"/>
      <c r="AG3374" s="93"/>
      <c r="AH3374" s="93"/>
      <c r="AI3374" s="93"/>
      <c r="AJ3374" s="93"/>
    </row>
    <row r="3375" spans="30:36" ht="18">
      <c r="AD3375" s="93"/>
      <c r="AE3375" s="214"/>
      <c r="AF3375" s="93"/>
      <c r="AG3375" s="93"/>
      <c r="AH3375" s="93"/>
      <c r="AI3375" s="93"/>
      <c r="AJ3375" s="93"/>
    </row>
    <row r="3376" spans="30:36" ht="18">
      <c r="AD3376" s="93"/>
      <c r="AE3376" s="215"/>
      <c r="AF3376" s="93"/>
      <c r="AG3376" s="93"/>
      <c r="AH3376" s="93"/>
      <c r="AI3376" s="93"/>
      <c r="AJ3376" s="93"/>
    </row>
    <row r="3377" spans="30:36" ht="18">
      <c r="AD3377" s="93"/>
      <c r="AE3377" s="214"/>
      <c r="AF3377" s="93"/>
      <c r="AG3377" s="93"/>
      <c r="AH3377" s="93"/>
      <c r="AI3377" s="93"/>
      <c r="AJ3377" s="93"/>
    </row>
    <row r="3378" spans="30:36" ht="18">
      <c r="AD3378" s="93"/>
      <c r="AE3378" s="214"/>
      <c r="AF3378" s="93"/>
      <c r="AG3378" s="93"/>
      <c r="AH3378" s="93"/>
      <c r="AI3378" s="93"/>
      <c r="AJ3378" s="93"/>
    </row>
    <row r="3379" spans="30:36" ht="18">
      <c r="AD3379" s="93"/>
      <c r="AE3379" s="214"/>
      <c r="AF3379" s="93"/>
      <c r="AG3379" s="93"/>
      <c r="AH3379" s="93"/>
      <c r="AI3379" s="93"/>
      <c r="AJ3379" s="93"/>
    </row>
    <row r="3380" spans="30:36" ht="18">
      <c r="AD3380" s="93"/>
      <c r="AE3380" s="214"/>
      <c r="AF3380" s="93"/>
      <c r="AG3380" s="93"/>
      <c r="AH3380" s="93"/>
      <c r="AI3380" s="93"/>
      <c r="AJ3380" s="93"/>
    </row>
    <row r="3381" spans="30:36" ht="18">
      <c r="AD3381" s="93"/>
      <c r="AE3381" s="214"/>
      <c r="AF3381" s="93"/>
      <c r="AG3381" s="93"/>
      <c r="AH3381" s="93"/>
      <c r="AI3381" s="93"/>
      <c r="AJ3381" s="93"/>
    </row>
    <row r="3382" spans="30:36" ht="18">
      <c r="AD3382" s="93"/>
      <c r="AE3382" s="214"/>
      <c r="AF3382" s="93"/>
      <c r="AG3382" s="93"/>
      <c r="AH3382" s="93"/>
      <c r="AI3382" s="93"/>
      <c r="AJ3382" s="93"/>
    </row>
    <row r="3383" spans="30:36" ht="18">
      <c r="AD3383" s="93"/>
      <c r="AE3383" s="214"/>
      <c r="AF3383" s="93"/>
      <c r="AG3383" s="93"/>
      <c r="AH3383" s="93"/>
      <c r="AI3383" s="93"/>
      <c r="AJ3383" s="93"/>
    </row>
    <row r="3384" spans="30:36" ht="18">
      <c r="AD3384" s="93"/>
      <c r="AE3384" s="214"/>
      <c r="AF3384" s="93"/>
      <c r="AG3384" s="93"/>
      <c r="AH3384" s="93"/>
      <c r="AI3384" s="93"/>
      <c r="AJ3384" s="93"/>
    </row>
    <row r="3385" spans="30:36" ht="18">
      <c r="AD3385" s="93"/>
      <c r="AE3385" s="214"/>
      <c r="AF3385" s="93"/>
      <c r="AG3385" s="93"/>
      <c r="AH3385" s="93"/>
      <c r="AI3385" s="93"/>
      <c r="AJ3385" s="93"/>
    </row>
    <row r="3386" spans="30:36" ht="18">
      <c r="AD3386" s="93"/>
      <c r="AE3386" s="214"/>
      <c r="AF3386" s="93"/>
      <c r="AG3386" s="93"/>
      <c r="AH3386" s="93"/>
      <c r="AI3386" s="93"/>
      <c r="AJ3386" s="93"/>
    </row>
    <row r="3387" spans="30:36" ht="18">
      <c r="AD3387" s="93"/>
      <c r="AE3387" s="214"/>
      <c r="AF3387" s="93"/>
      <c r="AG3387" s="93"/>
      <c r="AH3387" s="93"/>
      <c r="AI3387" s="93"/>
      <c r="AJ3387" s="93"/>
    </row>
    <row r="3388" spans="30:36" ht="18">
      <c r="AD3388" s="93"/>
      <c r="AE3388" s="214"/>
      <c r="AF3388" s="93"/>
      <c r="AG3388" s="93"/>
      <c r="AH3388" s="93"/>
      <c r="AI3388" s="93"/>
      <c r="AJ3388" s="93"/>
    </row>
    <row r="3389" spans="30:36" ht="18">
      <c r="AD3389" s="93"/>
      <c r="AE3389" s="214"/>
      <c r="AF3389" s="93"/>
      <c r="AG3389" s="93"/>
      <c r="AH3389" s="93"/>
      <c r="AI3389" s="93"/>
      <c r="AJ3389" s="93"/>
    </row>
    <row r="3390" spans="30:36" ht="18">
      <c r="AD3390" s="93"/>
      <c r="AE3390" s="214"/>
      <c r="AF3390" s="93"/>
      <c r="AG3390" s="93"/>
      <c r="AH3390" s="93"/>
      <c r="AI3390" s="93"/>
      <c r="AJ3390" s="93"/>
    </row>
    <row r="3391" spans="30:36" ht="18">
      <c r="AD3391" s="93"/>
      <c r="AE3391" s="214"/>
      <c r="AF3391" s="93"/>
      <c r="AG3391" s="93"/>
      <c r="AH3391" s="93"/>
      <c r="AI3391" s="93"/>
      <c r="AJ3391" s="93"/>
    </row>
    <row r="3392" spans="30:36" ht="18">
      <c r="AD3392" s="93"/>
      <c r="AE3392" s="214"/>
      <c r="AF3392" s="93"/>
      <c r="AG3392" s="93"/>
      <c r="AH3392" s="93"/>
      <c r="AI3392" s="93"/>
      <c r="AJ3392" s="93"/>
    </row>
    <row r="3393" spans="30:36" ht="18">
      <c r="AD3393" s="93"/>
      <c r="AE3393" s="214"/>
      <c r="AF3393" s="93"/>
      <c r="AG3393" s="93"/>
      <c r="AH3393" s="93"/>
      <c r="AI3393" s="93"/>
      <c r="AJ3393" s="93"/>
    </row>
    <row r="3394" spans="30:36" ht="18">
      <c r="AD3394" s="93"/>
      <c r="AE3394" s="214"/>
      <c r="AF3394" s="93"/>
      <c r="AG3394" s="93"/>
      <c r="AH3394" s="93"/>
      <c r="AI3394" s="93"/>
      <c r="AJ3394" s="93"/>
    </row>
    <row r="3395" spans="30:36" ht="18">
      <c r="AD3395" s="93"/>
      <c r="AE3395" s="214"/>
      <c r="AF3395" s="93"/>
      <c r="AG3395" s="93"/>
      <c r="AH3395" s="93"/>
      <c r="AI3395" s="93"/>
      <c r="AJ3395" s="93"/>
    </row>
    <row r="3396" spans="30:36" ht="18">
      <c r="AD3396" s="93"/>
      <c r="AE3396" s="214"/>
      <c r="AF3396" s="93"/>
      <c r="AG3396" s="93"/>
      <c r="AH3396" s="93"/>
      <c r="AI3396" s="93"/>
      <c r="AJ3396" s="93"/>
    </row>
    <row r="3397" spans="30:36" ht="18">
      <c r="AD3397" s="93"/>
      <c r="AE3397" s="214"/>
      <c r="AF3397" s="93"/>
      <c r="AG3397" s="93"/>
      <c r="AH3397" s="93"/>
      <c r="AI3397" s="93"/>
      <c r="AJ3397" s="93"/>
    </row>
    <row r="3398" spans="30:36" ht="18">
      <c r="AD3398" s="93"/>
      <c r="AE3398" s="214"/>
      <c r="AF3398" s="93"/>
      <c r="AG3398" s="93"/>
      <c r="AH3398" s="93"/>
      <c r="AI3398" s="93"/>
      <c r="AJ3398" s="93"/>
    </row>
    <row r="3399" spans="30:36" ht="18">
      <c r="AD3399" s="93"/>
      <c r="AE3399" s="214"/>
      <c r="AF3399" s="93"/>
      <c r="AG3399" s="93"/>
      <c r="AH3399" s="93"/>
      <c r="AI3399" s="93"/>
      <c r="AJ3399" s="93"/>
    </row>
    <row r="3400" spans="30:36" ht="18">
      <c r="AD3400" s="93"/>
      <c r="AE3400" s="214"/>
      <c r="AF3400" s="93"/>
      <c r="AG3400" s="93"/>
      <c r="AH3400" s="93"/>
      <c r="AI3400" s="93"/>
      <c r="AJ3400" s="93"/>
    </row>
    <row r="3401" spans="30:36" ht="18">
      <c r="AD3401" s="93"/>
      <c r="AE3401" s="214"/>
      <c r="AF3401" s="93"/>
      <c r="AG3401" s="93"/>
      <c r="AH3401" s="93"/>
      <c r="AI3401" s="93"/>
      <c r="AJ3401" s="93"/>
    </row>
    <row r="3402" spans="30:36" ht="18">
      <c r="AD3402" s="93"/>
      <c r="AE3402" s="214"/>
      <c r="AF3402" s="93"/>
      <c r="AG3402" s="93"/>
      <c r="AH3402" s="93"/>
      <c r="AI3402" s="93"/>
      <c r="AJ3402" s="93"/>
    </row>
    <row r="3403" spans="30:36" ht="18">
      <c r="AD3403" s="93"/>
      <c r="AE3403" s="214"/>
      <c r="AF3403" s="93"/>
      <c r="AG3403" s="93"/>
      <c r="AH3403" s="93"/>
      <c r="AI3403" s="93"/>
      <c r="AJ3403" s="93"/>
    </row>
    <row r="3404" spans="30:36" ht="18">
      <c r="AD3404" s="93"/>
      <c r="AE3404" s="215"/>
      <c r="AF3404" s="93"/>
      <c r="AG3404" s="93"/>
      <c r="AH3404" s="93"/>
      <c r="AI3404" s="93"/>
      <c r="AJ3404" s="93"/>
    </row>
    <row r="3405" spans="30:36" ht="18">
      <c r="AD3405" s="93"/>
      <c r="AE3405" s="215"/>
      <c r="AF3405" s="93"/>
      <c r="AG3405" s="93"/>
      <c r="AH3405" s="93"/>
      <c r="AI3405" s="93"/>
      <c r="AJ3405" s="93"/>
    </row>
    <row r="3406" spans="30:36" ht="18">
      <c r="AD3406" s="93"/>
      <c r="AE3406" s="214"/>
      <c r="AF3406" s="93"/>
      <c r="AG3406" s="93"/>
      <c r="AH3406" s="93"/>
      <c r="AI3406" s="93"/>
      <c r="AJ3406" s="93"/>
    </row>
    <row r="3407" spans="30:36" ht="18">
      <c r="AD3407" s="93"/>
      <c r="AE3407" s="214"/>
      <c r="AF3407" s="93"/>
      <c r="AG3407" s="93"/>
      <c r="AH3407" s="93"/>
      <c r="AI3407" s="93"/>
      <c r="AJ3407" s="93"/>
    </row>
    <row r="3408" spans="30:36" ht="18">
      <c r="AD3408" s="93"/>
      <c r="AE3408" s="214"/>
      <c r="AF3408" s="93"/>
      <c r="AG3408" s="93"/>
      <c r="AH3408" s="93"/>
      <c r="AI3408" s="93"/>
      <c r="AJ3408" s="93"/>
    </row>
    <row r="3409" spans="30:36" ht="18">
      <c r="AD3409" s="93"/>
      <c r="AE3409" s="214"/>
      <c r="AF3409" s="93"/>
      <c r="AG3409" s="93"/>
      <c r="AH3409" s="93"/>
      <c r="AI3409" s="93"/>
      <c r="AJ3409" s="93"/>
    </row>
    <row r="3410" spans="30:36" ht="18">
      <c r="AD3410" s="93"/>
      <c r="AE3410" s="214"/>
      <c r="AF3410" s="93"/>
      <c r="AG3410" s="93"/>
      <c r="AH3410" s="93"/>
      <c r="AI3410" s="93"/>
      <c r="AJ3410" s="93"/>
    </row>
    <row r="3411" spans="30:36" ht="18">
      <c r="AD3411" s="93"/>
      <c r="AE3411" s="214"/>
      <c r="AF3411" s="93"/>
      <c r="AG3411" s="93"/>
      <c r="AH3411" s="93"/>
      <c r="AI3411" s="93"/>
      <c r="AJ3411" s="93"/>
    </row>
    <row r="3412" spans="30:36" ht="18">
      <c r="AD3412" s="93"/>
      <c r="AE3412" s="214"/>
      <c r="AF3412" s="93"/>
      <c r="AG3412" s="93"/>
      <c r="AH3412" s="93"/>
      <c r="AI3412" s="93"/>
      <c r="AJ3412" s="93"/>
    </row>
    <row r="3413" spans="30:36" ht="18">
      <c r="AD3413" s="93"/>
      <c r="AE3413" s="214"/>
      <c r="AF3413" s="93"/>
      <c r="AG3413" s="93"/>
      <c r="AH3413" s="93"/>
      <c r="AI3413" s="93"/>
      <c r="AJ3413" s="93"/>
    </row>
    <row r="3414" spans="30:36" ht="18">
      <c r="AD3414" s="93"/>
      <c r="AE3414" s="214"/>
      <c r="AF3414" s="93"/>
      <c r="AG3414" s="93"/>
      <c r="AH3414" s="93"/>
      <c r="AI3414" s="93"/>
      <c r="AJ3414" s="93"/>
    </row>
    <row r="3415" spans="30:36" ht="18">
      <c r="AD3415" s="93"/>
      <c r="AE3415" s="214"/>
      <c r="AF3415" s="93"/>
      <c r="AG3415" s="93"/>
      <c r="AH3415" s="93"/>
      <c r="AI3415" s="93"/>
      <c r="AJ3415" s="93"/>
    </row>
    <row r="3416" spans="30:36" ht="18">
      <c r="AD3416" s="93"/>
      <c r="AE3416" s="214"/>
      <c r="AF3416" s="93"/>
      <c r="AG3416" s="93"/>
      <c r="AH3416" s="93"/>
      <c r="AI3416" s="93"/>
      <c r="AJ3416" s="93"/>
    </row>
    <row r="3417" spans="30:36" ht="18">
      <c r="AD3417" s="93"/>
      <c r="AE3417" s="214"/>
      <c r="AF3417" s="93"/>
      <c r="AG3417" s="93"/>
      <c r="AH3417" s="93"/>
      <c r="AI3417" s="93"/>
      <c r="AJ3417" s="93"/>
    </row>
    <row r="3418" spans="30:36" ht="18">
      <c r="AD3418" s="93"/>
      <c r="AE3418" s="214"/>
      <c r="AF3418" s="93"/>
      <c r="AG3418" s="93"/>
      <c r="AH3418" s="93"/>
      <c r="AI3418" s="93"/>
      <c r="AJ3418" s="93"/>
    </row>
    <row r="3419" spans="30:36" ht="18">
      <c r="AD3419" s="93"/>
      <c r="AE3419" s="214"/>
      <c r="AF3419" s="93"/>
      <c r="AG3419" s="93"/>
      <c r="AH3419" s="93"/>
      <c r="AI3419" s="93"/>
      <c r="AJ3419" s="93"/>
    </row>
    <row r="3420" spans="30:36" ht="18">
      <c r="AD3420" s="93"/>
      <c r="AE3420" s="214"/>
      <c r="AF3420" s="93"/>
      <c r="AG3420" s="93"/>
      <c r="AH3420" s="93"/>
      <c r="AI3420" s="93"/>
      <c r="AJ3420" s="93"/>
    </row>
    <row r="3421" spans="30:36" ht="18">
      <c r="AD3421" s="93"/>
      <c r="AE3421" s="214"/>
      <c r="AF3421" s="93"/>
      <c r="AG3421" s="93"/>
      <c r="AH3421" s="93"/>
      <c r="AI3421" s="93"/>
      <c r="AJ3421" s="93"/>
    </row>
    <row r="3422" spans="30:36" ht="18">
      <c r="AD3422" s="93"/>
      <c r="AE3422" s="214"/>
      <c r="AF3422" s="93"/>
      <c r="AG3422" s="93"/>
      <c r="AH3422" s="93"/>
      <c r="AI3422" s="93"/>
      <c r="AJ3422" s="93"/>
    </row>
    <row r="3423" spans="30:36" ht="18">
      <c r="AD3423" s="93"/>
      <c r="AE3423" s="214"/>
      <c r="AF3423" s="93"/>
      <c r="AG3423" s="93"/>
      <c r="AH3423" s="93"/>
      <c r="AI3423" s="93"/>
      <c r="AJ3423" s="93"/>
    </row>
    <row r="3424" spans="30:36" ht="18">
      <c r="AD3424" s="93"/>
      <c r="AE3424" s="214"/>
      <c r="AF3424" s="93"/>
      <c r="AG3424" s="93"/>
      <c r="AH3424" s="93"/>
      <c r="AI3424" s="93"/>
      <c r="AJ3424" s="93"/>
    </row>
    <row r="3425" spans="30:36" ht="18">
      <c r="AD3425" s="93"/>
      <c r="AE3425" s="214"/>
      <c r="AF3425" s="93"/>
      <c r="AG3425" s="93"/>
      <c r="AH3425" s="93"/>
      <c r="AI3425" s="93"/>
      <c r="AJ3425" s="93"/>
    </row>
    <row r="3426" spans="30:36" ht="18">
      <c r="AD3426" s="93"/>
      <c r="AE3426" s="214"/>
      <c r="AF3426" s="93"/>
      <c r="AG3426" s="93"/>
      <c r="AH3426" s="93"/>
      <c r="AI3426" s="93"/>
      <c r="AJ3426" s="93"/>
    </row>
    <row r="3427" spans="30:36" ht="18">
      <c r="AD3427" s="93"/>
      <c r="AE3427" s="214"/>
      <c r="AF3427" s="93"/>
      <c r="AG3427" s="93"/>
      <c r="AH3427" s="93"/>
      <c r="AI3427" s="93"/>
      <c r="AJ3427" s="93"/>
    </row>
    <row r="3428" spans="30:36" ht="18">
      <c r="AD3428" s="93"/>
      <c r="AE3428" s="214"/>
      <c r="AF3428" s="93"/>
      <c r="AG3428" s="93"/>
      <c r="AH3428" s="93"/>
      <c r="AI3428" s="93"/>
      <c r="AJ3428" s="93"/>
    </row>
    <row r="3429" spans="30:36" ht="18">
      <c r="AD3429" s="93"/>
      <c r="AE3429" s="214"/>
      <c r="AF3429" s="93"/>
      <c r="AG3429" s="93"/>
      <c r="AH3429" s="93"/>
      <c r="AI3429" s="93"/>
      <c r="AJ3429" s="93"/>
    </row>
    <row r="3430" spans="30:36" ht="18">
      <c r="AD3430" s="93"/>
      <c r="AE3430" s="214"/>
      <c r="AF3430" s="93"/>
      <c r="AG3430" s="93"/>
      <c r="AH3430" s="93"/>
      <c r="AI3430" s="93"/>
      <c r="AJ3430" s="93"/>
    </row>
    <row r="3431" spans="30:36" ht="18">
      <c r="AD3431" s="93"/>
      <c r="AE3431" s="214"/>
      <c r="AF3431" s="93"/>
      <c r="AG3431" s="93"/>
      <c r="AH3431" s="93"/>
      <c r="AI3431" s="93"/>
      <c r="AJ3431" s="93"/>
    </row>
    <row r="3432" spans="30:36" ht="18">
      <c r="AD3432" s="93"/>
      <c r="AE3432" s="214"/>
      <c r="AF3432" s="93"/>
      <c r="AG3432" s="93"/>
      <c r="AH3432" s="93"/>
      <c r="AI3432" s="93"/>
      <c r="AJ3432" s="93"/>
    </row>
    <row r="3433" spans="30:36" ht="18">
      <c r="AD3433" s="93"/>
      <c r="AE3433" s="214"/>
      <c r="AF3433" s="93"/>
      <c r="AG3433" s="93"/>
      <c r="AH3433" s="93"/>
      <c r="AI3433" s="93"/>
      <c r="AJ3433" s="93"/>
    </row>
    <row r="3434" spans="30:36" ht="18">
      <c r="AD3434" s="93"/>
      <c r="AE3434" s="214"/>
      <c r="AF3434" s="93"/>
      <c r="AG3434" s="93"/>
      <c r="AH3434" s="93"/>
      <c r="AI3434" s="93"/>
      <c r="AJ3434" s="93"/>
    </row>
    <row r="3435" spans="30:36" ht="18">
      <c r="AD3435" s="93"/>
      <c r="AE3435" s="214"/>
      <c r="AF3435" s="93"/>
      <c r="AG3435" s="93"/>
      <c r="AH3435" s="93"/>
      <c r="AI3435" s="93"/>
      <c r="AJ3435" s="93"/>
    </row>
    <row r="3436" spans="30:36" ht="18">
      <c r="AD3436" s="93"/>
      <c r="AE3436" s="214"/>
      <c r="AF3436" s="93"/>
      <c r="AG3436" s="93"/>
      <c r="AH3436" s="93"/>
      <c r="AI3436" s="93"/>
      <c r="AJ3436" s="93"/>
    </row>
    <row r="3437" spans="30:36" ht="18">
      <c r="AD3437" s="93"/>
      <c r="AE3437" s="215"/>
      <c r="AF3437" s="93"/>
      <c r="AG3437" s="93"/>
      <c r="AH3437" s="93"/>
      <c r="AI3437" s="93"/>
      <c r="AJ3437" s="93"/>
    </row>
    <row r="3438" spans="30:36" ht="18">
      <c r="AD3438" s="93"/>
      <c r="AE3438" s="214"/>
      <c r="AF3438" s="93"/>
      <c r="AG3438" s="93"/>
      <c r="AH3438" s="93"/>
      <c r="AI3438" s="93"/>
      <c r="AJ3438" s="93"/>
    </row>
    <row r="3439" spans="30:36" ht="18">
      <c r="AD3439" s="93"/>
      <c r="AE3439" s="214"/>
      <c r="AF3439" s="93"/>
      <c r="AG3439" s="93"/>
      <c r="AH3439" s="93"/>
      <c r="AI3439" s="93"/>
      <c r="AJ3439" s="93"/>
    </row>
    <row r="3440" spans="30:36" ht="18">
      <c r="AD3440" s="93"/>
      <c r="AE3440" s="214"/>
      <c r="AF3440" s="93"/>
      <c r="AG3440" s="93"/>
      <c r="AH3440" s="93"/>
      <c r="AI3440" s="93"/>
      <c r="AJ3440" s="93"/>
    </row>
    <row r="3441" spans="30:36" ht="18">
      <c r="AD3441" s="93"/>
      <c r="AE3441" s="214"/>
      <c r="AF3441" s="93"/>
      <c r="AG3441" s="93"/>
      <c r="AH3441" s="93"/>
      <c r="AI3441" s="93"/>
      <c r="AJ3441" s="93"/>
    </row>
    <row r="3442" spans="30:36" ht="18">
      <c r="AD3442" s="93"/>
      <c r="AE3442" s="214"/>
      <c r="AF3442" s="93"/>
      <c r="AG3442" s="93"/>
      <c r="AH3442" s="93"/>
      <c r="AI3442" s="93"/>
      <c r="AJ3442" s="93"/>
    </row>
    <row r="3443" spans="30:36" ht="18">
      <c r="AD3443" s="93"/>
      <c r="AE3443" s="214"/>
      <c r="AF3443" s="93"/>
      <c r="AG3443" s="93"/>
      <c r="AH3443" s="93"/>
      <c r="AI3443" s="93"/>
      <c r="AJ3443" s="93"/>
    </row>
    <row r="3444" spans="30:36" ht="18">
      <c r="AD3444" s="93"/>
      <c r="AE3444" s="214"/>
      <c r="AF3444" s="93"/>
      <c r="AG3444" s="93"/>
      <c r="AH3444" s="93"/>
      <c r="AI3444" s="93"/>
      <c r="AJ3444" s="93"/>
    </row>
    <row r="3445" spans="30:36" ht="18">
      <c r="AD3445" s="93"/>
      <c r="AE3445" s="214"/>
      <c r="AF3445" s="93"/>
      <c r="AG3445" s="93"/>
      <c r="AH3445" s="93"/>
      <c r="AI3445" s="93"/>
      <c r="AJ3445" s="93"/>
    </row>
    <row r="3446" spans="30:36" ht="18">
      <c r="AD3446" s="93"/>
      <c r="AE3446" s="215"/>
      <c r="AF3446" s="93"/>
      <c r="AG3446" s="93"/>
      <c r="AH3446" s="93"/>
      <c r="AI3446" s="93"/>
      <c r="AJ3446" s="93"/>
    </row>
    <row r="3447" spans="30:36" ht="18">
      <c r="AD3447" s="93"/>
      <c r="AE3447" s="215"/>
      <c r="AF3447" s="93"/>
      <c r="AG3447" s="93"/>
      <c r="AH3447" s="93"/>
      <c r="AI3447" s="93"/>
      <c r="AJ3447" s="93"/>
    </row>
    <row r="3448" spans="30:36" ht="18">
      <c r="AD3448" s="93"/>
      <c r="AE3448" s="214"/>
      <c r="AF3448" s="93"/>
      <c r="AG3448" s="93"/>
      <c r="AH3448" s="93"/>
      <c r="AI3448" s="93"/>
      <c r="AJ3448" s="93"/>
    </row>
    <row r="3449" spans="30:36" ht="18">
      <c r="AD3449" s="93"/>
      <c r="AE3449" s="214"/>
      <c r="AF3449" s="93"/>
      <c r="AG3449" s="93"/>
      <c r="AH3449" s="93"/>
      <c r="AI3449" s="93"/>
      <c r="AJ3449" s="93"/>
    </row>
    <row r="3450" spans="30:36" ht="18">
      <c r="AD3450" s="93"/>
      <c r="AE3450" s="214"/>
      <c r="AF3450" s="93"/>
      <c r="AG3450" s="93"/>
      <c r="AH3450" s="93"/>
      <c r="AI3450" s="93"/>
      <c r="AJ3450" s="93"/>
    </row>
    <row r="3451" spans="30:36" ht="18">
      <c r="AD3451" s="93"/>
      <c r="AE3451" s="214"/>
      <c r="AF3451" s="93"/>
      <c r="AG3451" s="93"/>
      <c r="AH3451" s="93"/>
      <c r="AI3451" s="93"/>
      <c r="AJ3451" s="93"/>
    </row>
    <row r="3452" spans="30:36" ht="18">
      <c r="AD3452" s="93"/>
      <c r="AE3452" s="214"/>
      <c r="AF3452" s="93"/>
      <c r="AG3452" s="93"/>
      <c r="AH3452" s="93"/>
      <c r="AI3452" s="93"/>
      <c r="AJ3452" s="93"/>
    </row>
    <row r="3453" spans="30:36" ht="18">
      <c r="AD3453" s="93"/>
      <c r="AE3453" s="214"/>
      <c r="AF3453" s="93"/>
      <c r="AG3453" s="93"/>
      <c r="AH3453" s="93"/>
      <c r="AI3453" s="93"/>
      <c r="AJ3453" s="93"/>
    </row>
    <row r="3454" spans="30:36" ht="18">
      <c r="AD3454" s="93"/>
      <c r="AE3454" s="214"/>
      <c r="AF3454" s="93"/>
      <c r="AG3454" s="93"/>
      <c r="AH3454" s="93"/>
      <c r="AI3454" s="93"/>
      <c r="AJ3454" s="93"/>
    </row>
    <row r="3455" spans="30:36" ht="18">
      <c r="AD3455" s="93"/>
      <c r="AE3455" s="214"/>
      <c r="AF3455" s="93"/>
      <c r="AG3455" s="93"/>
      <c r="AH3455" s="93"/>
      <c r="AI3455" s="93"/>
      <c r="AJ3455" s="93"/>
    </row>
    <row r="3456" spans="30:36" ht="18">
      <c r="AD3456" s="93"/>
      <c r="AE3456" s="214"/>
      <c r="AF3456" s="93"/>
      <c r="AG3456" s="93"/>
      <c r="AH3456" s="93"/>
      <c r="AI3456" s="93"/>
      <c r="AJ3456" s="93"/>
    </row>
    <row r="3457" spans="30:36" ht="18">
      <c r="AD3457" s="93"/>
      <c r="AE3457" s="214"/>
      <c r="AF3457" s="93"/>
      <c r="AG3457" s="93"/>
      <c r="AH3457" s="93"/>
      <c r="AI3457" s="93"/>
      <c r="AJ3457" s="93"/>
    </row>
    <row r="3458" spans="30:36" ht="18">
      <c r="AD3458" s="93"/>
      <c r="AE3458" s="214"/>
      <c r="AF3458" s="93"/>
      <c r="AG3458" s="93"/>
      <c r="AH3458" s="93"/>
      <c r="AI3458" s="93"/>
      <c r="AJ3458" s="93"/>
    </row>
    <row r="3459" spans="30:36" ht="18">
      <c r="AD3459" s="93"/>
      <c r="AE3459" s="214"/>
      <c r="AF3459" s="93"/>
      <c r="AG3459" s="93"/>
      <c r="AH3459" s="93"/>
      <c r="AI3459" s="93"/>
      <c r="AJ3459" s="93"/>
    </row>
    <row r="3460" spans="30:36" ht="18">
      <c r="AD3460" s="93"/>
      <c r="AE3460" s="214"/>
      <c r="AF3460" s="93"/>
      <c r="AG3460" s="93"/>
      <c r="AH3460" s="93"/>
      <c r="AI3460" s="93"/>
      <c r="AJ3460" s="93"/>
    </row>
    <row r="3461" spans="30:36" ht="18">
      <c r="AD3461" s="93"/>
      <c r="AE3461" s="214"/>
      <c r="AF3461" s="93"/>
      <c r="AG3461" s="93"/>
      <c r="AH3461" s="93"/>
      <c r="AI3461" s="93"/>
      <c r="AJ3461" s="93"/>
    </row>
    <row r="3462" spans="30:36" ht="18">
      <c r="AD3462" s="93"/>
      <c r="AE3462" s="214"/>
      <c r="AF3462" s="93"/>
      <c r="AG3462" s="93"/>
      <c r="AH3462" s="93"/>
      <c r="AI3462" s="93"/>
      <c r="AJ3462" s="93"/>
    </row>
    <row r="3463" spans="30:36" ht="18">
      <c r="AD3463" s="93"/>
      <c r="AE3463" s="214"/>
      <c r="AF3463" s="93"/>
      <c r="AG3463" s="93"/>
      <c r="AH3463" s="93"/>
      <c r="AI3463" s="93"/>
      <c r="AJ3463" s="93"/>
    </row>
    <row r="3464" spans="30:36" ht="18">
      <c r="AD3464" s="93"/>
      <c r="AE3464" s="214"/>
      <c r="AF3464" s="93"/>
      <c r="AG3464" s="93"/>
      <c r="AH3464" s="93"/>
      <c r="AI3464" s="93"/>
      <c r="AJ3464" s="93"/>
    </row>
    <row r="3465" spans="30:36" ht="18">
      <c r="AD3465" s="93"/>
      <c r="AE3465" s="214"/>
      <c r="AF3465" s="93"/>
      <c r="AG3465" s="93"/>
      <c r="AH3465" s="93"/>
      <c r="AI3465" s="93"/>
      <c r="AJ3465" s="93"/>
    </row>
    <row r="3466" spans="30:36" ht="18">
      <c r="AD3466" s="93"/>
      <c r="AE3466" s="214"/>
      <c r="AF3466" s="93"/>
      <c r="AG3466" s="93"/>
      <c r="AH3466" s="93"/>
      <c r="AI3466" s="93"/>
      <c r="AJ3466" s="93"/>
    </row>
    <row r="3467" spans="30:36" ht="18">
      <c r="AD3467" s="93"/>
      <c r="AE3467" s="214"/>
      <c r="AF3467" s="93"/>
      <c r="AG3467" s="93"/>
      <c r="AH3467" s="93"/>
      <c r="AI3467" s="93"/>
      <c r="AJ3467" s="93"/>
    </row>
    <row r="3468" spans="30:36" ht="18">
      <c r="AD3468" s="93"/>
      <c r="AE3468" s="214"/>
      <c r="AF3468" s="93"/>
      <c r="AG3468" s="93"/>
      <c r="AH3468" s="93"/>
      <c r="AI3468" s="93"/>
      <c r="AJ3468" s="93"/>
    </row>
    <row r="3469" spans="30:36" ht="18">
      <c r="AD3469" s="93"/>
      <c r="AE3469" s="214"/>
      <c r="AF3469" s="93"/>
      <c r="AG3469" s="93"/>
      <c r="AH3469" s="93"/>
      <c r="AI3469" s="93"/>
      <c r="AJ3469" s="93"/>
    </row>
    <row r="3470" spans="30:36" ht="18">
      <c r="AD3470" s="93"/>
      <c r="AE3470" s="214"/>
      <c r="AF3470" s="93"/>
      <c r="AG3470" s="93"/>
      <c r="AH3470" s="93"/>
      <c r="AI3470" s="93"/>
      <c r="AJ3470" s="93"/>
    </row>
    <row r="3471" spans="30:36" ht="18">
      <c r="AD3471" s="93"/>
      <c r="AE3471" s="214"/>
      <c r="AF3471" s="93"/>
      <c r="AG3471" s="93"/>
      <c r="AH3471" s="93"/>
      <c r="AI3471" s="93"/>
      <c r="AJ3471" s="93"/>
    </row>
    <row r="3472" spans="30:36" ht="18">
      <c r="AD3472" s="93"/>
      <c r="AE3472" s="214"/>
      <c r="AF3472" s="93"/>
      <c r="AG3472" s="93"/>
      <c r="AH3472" s="93"/>
      <c r="AI3472" s="93"/>
      <c r="AJ3472" s="93"/>
    </row>
    <row r="3473" spans="30:36" ht="18">
      <c r="AD3473" s="93"/>
      <c r="AE3473" s="214"/>
      <c r="AF3473" s="93"/>
      <c r="AG3473" s="93"/>
      <c r="AH3473" s="93"/>
      <c r="AI3473" s="93"/>
      <c r="AJ3473" s="93"/>
    </row>
    <row r="3474" spans="30:36" ht="18">
      <c r="AD3474" s="93"/>
      <c r="AE3474" s="214"/>
      <c r="AF3474" s="93"/>
      <c r="AG3474" s="93"/>
      <c r="AH3474" s="93"/>
      <c r="AI3474" s="93"/>
      <c r="AJ3474" s="93"/>
    </row>
    <row r="3475" spans="30:36" ht="18">
      <c r="AD3475" s="93"/>
      <c r="AE3475" s="214"/>
      <c r="AF3475" s="93"/>
      <c r="AG3475" s="93"/>
      <c r="AH3475" s="93"/>
      <c r="AI3475" s="93"/>
      <c r="AJ3475" s="93"/>
    </row>
    <row r="3476" spans="30:36" ht="18">
      <c r="AD3476" s="93"/>
      <c r="AE3476" s="214"/>
      <c r="AF3476" s="93"/>
      <c r="AG3476" s="93"/>
      <c r="AH3476" s="93"/>
      <c r="AI3476" s="93"/>
      <c r="AJ3476" s="93"/>
    </row>
    <row r="3477" spans="30:36" ht="18">
      <c r="AD3477" s="93"/>
      <c r="AE3477" s="214"/>
      <c r="AF3477" s="93"/>
      <c r="AG3477" s="93"/>
      <c r="AH3477" s="93"/>
      <c r="AI3477" s="93"/>
      <c r="AJ3477" s="93"/>
    </row>
    <row r="3478" spans="30:36" ht="18">
      <c r="AD3478" s="93"/>
      <c r="AE3478" s="214"/>
      <c r="AF3478" s="93"/>
      <c r="AG3478" s="93"/>
      <c r="AH3478" s="93"/>
      <c r="AI3478" s="93"/>
      <c r="AJ3478" s="93"/>
    </row>
    <row r="3479" spans="30:36" ht="18">
      <c r="AD3479" s="93"/>
      <c r="AE3479" s="214"/>
      <c r="AF3479" s="93"/>
      <c r="AG3479" s="93"/>
      <c r="AH3479" s="93"/>
      <c r="AI3479" s="93"/>
      <c r="AJ3479" s="93"/>
    </row>
    <row r="3480" spans="30:36" ht="18">
      <c r="AD3480" s="93"/>
      <c r="AE3480" s="215"/>
      <c r="AF3480" s="93"/>
      <c r="AG3480" s="93"/>
      <c r="AH3480" s="93"/>
      <c r="AI3480" s="93"/>
      <c r="AJ3480" s="93"/>
    </row>
    <row r="3481" spans="30:36" ht="18">
      <c r="AD3481" s="93"/>
      <c r="AE3481" s="215"/>
      <c r="AF3481" s="93"/>
      <c r="AG3481" s="93"/>
      <c r="AH3481" s="93"/>
      <c r="AI3481" s="93"/>
      <c r="AJ3481" s="93"/>
    </row>
    <row r="3482" spans="30:36" ht="18">
      <c r="AD3482" s="93"/>
      <c r="AE3482" s="214"/>
      <c r="AF3482" s="93"/>
      <c r="AG3482" s="93"/>
      <c r="AH3482" s="93"/>
      <c r="AI3482" s="93"/>
      <c r="AJ3482" s="93"/>
    </row>
    <row r="3483" spans="30:36" ht="18">
      <c r="AD3483" s="93"/>
      <c r="AE3483" s="214"/>
      <c r="AF3483" s="93"/>
      <c r="AG3483" s="93"/>
      <c r="AH3483" s="93"/>
      <c r="AI3483" s="93"/>
      <c r="AJ3483" s="93"/>
    </row>
    <row r="3484" spans="30:36" ht="18">
      <c r="AD3484" s="93"/>
      <c r="AE3484" s="214"/>
      <c r="AF3484" s="93"/>
      <c r="AG3484" s="93"/>
      <c r="AH3484" s="93"/>
      <c r="AI3484" s="93"/>
      <c r="AJ3484" s="93"/>
    </row>
    <row r="3485" spans="30:36" ht="18">
      <c r="AD3485" s="93"/>
      <c r="AE3485" s="214"/>
      <c r="AF3485" s="93"/>
      <c r="AG3485" s="93"/>
      <c r="AH3485" s="93"/>
      <c r="AI3485" s="93"/>
      <c r="AJ3485" s="93"/>
    </row>
    <row r="3486" spans="30:36" ht="18">
      <c r="AD3486" s="93"/>
      <c r="AE3486" s="214"/>
      <c r="AF3486" s="93"/>
      <c r="AG3486" s="93"/>
      <c r="AH3486" s="93"/>
      <c r="AI3486" s="93"/>
      <c r="AJ3486" s="93"/>
    </row>
    <row r="3487" spans="30:36" ht="18">
      <c r="AD3487" s="93"/>
      <c r="AE3487" s="214"/>
      <c r="AF3487" s="93"/>
      <c r="AG3487" s="93"/>
      <c r="AH3487" s="93"/>
      <c r="AI3487" s="93"/>
      <c r="AJ3487" s="93"/>
    </row>
    <row r="3488" spans="30:36" ht="18">
      <c r="AD3488" s="93"/>
      <c r="AE3488" s="214"/>
      <c r="AF3488" s="93"/>
      <c r="AG3488" s="93"/>
      <c r="AH3488" s="93"/>
      <c r="AI3488" s="93"/>
      <c r="AJ3488" s="93"/>
    </row>
    <row r="3489" spans="30:36" ht="18">
      <c r="AD3489" s="93"/>
      <c r="AE3489" s="214"/>
      <c r="AF3489" s="93"/>
      <c r="AG3489" s="93"/>
      <c r="AH3489" s="93"/>
      <c r="AI3489" s="93"/>
      <c r="AJ3489" s="93"/>
    </row>
    <row r="3490" spans="30:36" ht="18">
      <c r="AD3490" s="93"/>
      <c r="AE3490" s="214"/>
      <c r="AF3490" s="93"/>
      <c r="AG3490" s="93"/>
      <c r="AH3490" s="93"/>
      <c r="AI3490" s="93"/>
      <c r="AJ3490" s="93"/>
    </row>
    <row r="3491" spans="30:36" ht="18">
      <c r="AD3491" s="93"/>
      <c r="AE3491" s="214"/>
      <c r="AF3491" s="93"/>
      <c r="AG3491" s="93"/>
      <c r="AH3491" s="93"/>
      <c r="AI3491" s="93"/>
      <c r="AJ3491" s="93"/>
    </row>
    <row r="3492" spans="30:36" ht="18">
      <c r="AD3492" s="93"/>
      <c r="AE3492" s="214"/>
      <c r="AF3492" s="93"/>
      <c r="AG3492" s="93"/>
      <c r="AH3492" s="93"/>
      <c r="AI3492" s="93"/>
      <c r="AJ3492" s="93"/>
    </row>
    <row r="3493" spans="30:36" ht="18">
      <c r="AD3493" s="93"/>
      <c r="AE3493" s="214"/>
      <c r="AF3493" s="93"/>
      <c r="AG3493" s="93"/>
      <c r="AH3493" s="93"/>
      <c r="AI3493" s="93"/>
      <c r="AJ3493" s="93"/>
    </row>
    <row r="3494" spans="30:36" ht="18">
      <c r="AD3494" s="93"/>
      <c r="AE3494" s="214"/>
      <c r="AF3494" s="93"/>
      <c r="AG3494" s="93"/>
      <c r="AH3494" s="93"/>
      <c r="AI3494" s="93"/>
      <c r="AJ3494" s="93"/>
    </row>
    <row r="3495" spans="30:36" ht="18">
      <c r="AD3495" s="93"/>
      <c r="AE3495" s="214"/>
      <c r="AF3495" s="93"/>
      <c r="AG3495" s="93"/>
      <c r="AH3495" s="93"/>
      <c r="AI3495" s="93"/>
      <c r="AJ3495" s="93"/>
    </row>
    <row r="3496" spans="30:36" ht="18">
      <c r="AD3496" s="93"/>
      <c r="AE3496" s="214"/>
      <c r="AF3496" s="93"/>
      <c r="AG3496" s="93"/>
      <c r="AH3496" s="93"/>
      <c r="AI3496" s="93"/>
      <c r="AJ3496" s="93"/>
    </row>
    <row r="3497" spans="30:36" ht="18">
      <c r="AD3497" s="93"/>
      <c r="AE3497" s="214"/>
      <c r="AF3497" s="93"/>
      <c r="AG3497" s="93"/>
      <c r="AH3497" s="93"/>
      <c r="AI3497" s="93"/>
      <c r="AJ3497" s="93"/>
    </row>
    <row r="3498" spans="30:36" ht="18">
      <c r="AD3498" s="93"/>
      <c r="AE3498" s="214"/>
      <c r="AF3498" s="93"/>
      <c r="AG3498" s="93"/>
      <c r="AH3498" s="93"/>
      <c r="AI3498" s="93"/>
      <c r="AJ3498" s="93"/>
    </row>
    <row r="3499" spans="30:36" ht="18">
      <c r="AD3499" s="93"/>
      <c r="AE3499" s="214"/>
      <c r="AF3499" s="93"/>
      <c r="AG3499" s="93"/>
      <c r="AH3499" s="93"/>
      <c r="AI3499" s="93"/>
      <c r="AJ3499" s="93"/>
    </row>
    <row r="3500" spans="30:36" ht="18">
      <c r="AD3500" s="93"/>
      <c r="AE3500" s="214"/>
      <c r="AF3500" s="93"/>
      <c r="AG3500" s="93"/>
      <c r="AH3500" s="93"/>
      <c r="AI3500" s="93"/>
      <c r="AJ3500" s="93"/>
    </row>
    <row r="3501" spans="30:36" ht="18">
      <c r="AD3501" s="93"/>
      <c r="AE3501" s="214"/>
      <c r="AF3501" s="93"/>
      <c r="AG3501" s="93"/>
      <c r="AH3501" s="93"/>
      <c r="AI3501" s="93"/>
      <c r="AJ3501" s="93"/>
    </row>
    <row r="3502" spans="30:36" ht="18">
      <c r="AD3502" s="93"/>
      <c r="AE3502" s="214"/>
      <c r="AF3502" s="93"/>
      <c r="AG3502" s="93"/>
      <c r="AH3502" s="93"/>
      <c r="AI3502" s="93"/>
      <c r="AJ3502" s="93"/>
    </row>
    <row r="3503" spans="30:36" ht="18">
      <c r="AD3503" s="93"/>
      <c r="AE3503" s="214"/>
      <c r="AF3503" s="93"/>
      <c r="AG3503" s="93"/>
      <c r="AH3503" s="93"/>
      <c r="AI3503" s="93"/>
      <c r="AJ3503" s="93"/>
    </row>
    <row r="3504" spans="30:36" ht="18">
      <c r="AD3504" s="93"/>
      <c r="AE3504" s="214"/>
      <c r="AF3504" s="93"/>
      <c r="AG3504" s="93"/>
      <c r="AH3504" s="93"/>
      <c r="AI3504" s="93"/>
      <c r="AJ3504" s="93"/>
    </row>
    <row r="3505" spans="30:36" ht="18">
      <c r="AD3505" s="93"/>
      <c r="AE3505" s="214"/>
      <c r="AF3505" s="93"/>
      <c r="AG3505" s="93"/>
      <c r="AH3505" s="93"/>
      <c r="AI3505" s="93"/>
      <c r="AJ3505" s="93"/>
    </row>
    <row r="3506" spans="30:36" ht="18">
      <c r="AD3506" s="93"/>
      <c r="AE3506" s="215"/>
      <c r="AF3506" s="93"/>
      <c r="AG3506" s="93"/>
      <c r="AH3506" s="93"/>
      <c r="AI3506" s="93"/>
      <c r="AJ3506" s="93"/>
    </row>
    <row r="3507" spans="30:36" ht="18">
      <c r="AD3507" s="93"/>
      <c r="AE3507" s="215"/>
      <c r="AF3507" s="93"/>
      <c r="AG3507" s="93"/>
      <c r="AH3507" s="93"/>
      <c r="AI3507" s="93"/>
      <c r="AJ3507" s="93"/>
    </row>
    <row r="3508" spans="30:36" ht="18">
      <c r="AD3508" s="93"/>
      <c r="AE3508" s="214"/>
      <c r="AF3508" s="93"/>
      <c r="AG3508" s="93"/>
      <c r="AH3508" s="93"/>
      <c r="AI3508" s="93"/>
      <c r="AJ3508" s="93"/>
    </row>
    <row r="3509" spans="30:36" ht="18">
      <c r="AD3509" s="93"/>
      <c r="AE3509" s="214"/>
      <c r="AF3509" s="93"/>
      <c r="AG3509" s="93"/>
      <c r="AH3509" s="93"/>
      <c r="AI3509" s="93"/>
      <c r="AJ3509" s="93"/>
    </row>
    <row r="3510" spans="30:36" ht="18">
      <c r="AD3510" s="93"/>
      <c r="AE3510" s="214"/>
      <c r="AF3510" s="93"/>
      <c r="AG3510" s="93"/>
      <c r="AH3510" s="93"/>
      <c r="AI3510" s="93"/>
      <c r="AJ3510" s="93"/>
    </row>
    <row r="3511" spans="30:36" ht="18">
      <c r="AD3511" s="93"/>
      <c r="AE3511" s="214"/>
      <c r="AF3511" s="93"/>
      <c r="AG3511" s="93"/>
      <c r="AH3511" s="93"/>
      <c r="AI3511" s="93"/>
      <c r="AJ3511" s="93"/>
    </row>
    <row r="3512" spans="30:36" ht="18">
      <c r="AD3512" s="93"/>
      <c r="AE3512" s="214"/>
      <c r="AF3512" s="93"/>
      <c r="AG3512" s="93"/>
      <c r="AH3512" s="93"/>
      <c r="AI3512" s="93"/>
      <c r="AJ3512" s="93"/>
    </row>
    <row r="3513" spans="30:36" ht="18">
      <c r="AD3513" s="93"/>
      <c r="AE3513" s="214"/>
      <c r="AF3513" s="93"/>
      <c r="AG3513" s="93"/>
      <c r="AH3513" s="93"/>
      <c r="AI3513" s="93"/>
      <c r="AJ3513" s="93"/>
    </row>
    <row r="3514" spans="30:36" ht="18">
      <c r="AD3514" s="93"/>
      <c r="AE3514" s="214"/>
      <c r="AF3514" s="93"/>
      <c r="AG3514" s="93"/>
      <c r="AH3514" s="93"/>
      <c r="AI3514" s="93"/>
      <c r="AJ3514" s="93"/>
    </row>
    <row r="3515" spans="30:36" ht="18">
      <c r="AD3515" s="93"/>
      <c r="AE3515" s="214"/>
      <c r="AF3515" s="93"/>
      <c r="AG3515" s="93"/>
      <c r="AH3515" s="93"/>
      <c r="AI3515" s="93"/>
      <c r="AJ3515" s="93"/>
    </row>
    <row r="3516" spans="30:36" ht="18">
      <c r="AD3516" s="93"/>
      <c r="AE3516" s="214"/>
      <c r="AF3516" s="93"/>
      <c r="AG3516" s="93"/>
      <c r="AH3516" s="93"/>
      <c r="AI3516" s="93"/>
      <c r="AJ3516" s="93"/>
    </row>
    <row r="3517" spans="30:36" ht="18">
      <c r="AD3517" s="93"/>
      <c r="AE3517" s="214"/>
      <c r="AF3517" s="93"/>
      <c r="AG3517" s="93"/>
      <c r="AH3517" s="93"/>
      <c r="AI3517" s="93"/>
      <c r="AJ3517" s="93"/>
    </row>
    <row r="3518" spans="30:36" ht="18">
      <c r="AD3518" s="93"/>
      <c r="AE3518" s="215"/>
      <c r="AF3518" s="93"/>
      <c r="AG3518" s="93"/>
      <c r="AH3518" s="93"/>
      <c r="AI3518" s="93"/>
      <c r="AJ3518" s="93"/>
    </row>
    <row r="3519" spans="30:36" ht="18">
      <c r="AD3519" s="93"/>
      <c r="AE3519" s="215"/>
      <c r="AF3519" s="93"/>
      <c r="AG3519" s="93"/>
      <c r="AH3519" s="93"/>
      <c r="AI3519" s="93"/>
      <c r="AJ3519" s="93"/>
    </row>
    <row r="3520" spans="30:36" ht="18">
      <c r="AD3520" s="93"/>
      <c r="AE3520" s="214"/>
      <c r="AF3520" s="93"/>
      <c r="AG3520" s="93"/>
      <c r="AH3520" s="93"/>
      <c r="AI3520" s="93"/>
      <c r="AJ3520" s="93"/>
    </row>
    <row r="3521" spans="30:36" ht="18">
      <c r="AD3521" s="93"/>
      <c r="AE3521" s="214"/>
      <c r="AF3521" s="93"/>
      <c r="AG3521" s="93"/>
      <c r="AH3521" s="93"/>
      <c r="AI3521" s="93"/>
      <c r="AJ3521" s="93"/>
    </row>
    <row r="3522" spans="30:36" ht="18">
      <c r="AD3522" s="93"/>
      <c r="AE3522" s="214"/>
      <c r="AF3522" s="93"/>
      <c r="AG3522" s="93"/>
      <c r="AH3522" s="93"/>
      <c r="AI3522" s="93"/>
      <c r="AJ3522" s="93"/>
    </row>
    <row r="3523" spans="30:36" ht="18">
      <c r="AD3523" s="93"/>
      <c r="AE3523" s="214"/>
      <c r="AF3523" s="93"/>
      <c r="AG3523" s="93"/>
      <c r="AH3523" s="93"/>
      <c r="AI3523" s="93"/>
      <c r="AJ3523" s="93"/>
    </row>
    <row r="3524" spans="30:36" ht="18">
      <c r="AD3524" s="93"/>
      <c r="AE3524" s="214"/>
      <c r="AF3524" s="93"/>
      <c r="AG3524" s="93"/>
      <c r="AH3524" s="93"/>
      <c r="AI3524" s="93"/>
      <c r="AJ3524" s="93"/>
    </row>
    <row r="3525" spans="30:36" ht="18">
      <c r="AD3525" s="93"/>
      <c r="AE3525" s="214"/>
      <c r="AF3525" s="93"/>
      <c r="AG3525" s="93"/>
      <c r="AH3525" s="93"/>
      <c r="AI3525" s="93"/>
      <c r="AJ3525" s="93"/>
    </row>
    <row r="3526" spans="30:36" ht="18">
      <c r="AD3526" s="93"/>
      <c r="AE3526" s="214"/>
      <c r="AF3526" s="93"/>
      <c r="AG3526" s="93"/>
      <c r="AH3526" s="93"/>
      <c r="AI3526" s="93"/>
      <c r="AJ3526" s="93"/>
    </row>
    <row r="3527" spans="30:36" ht="18">
      <c r="AD3527" s="93"/>
      <c r="AE3527" s="214"/>
      <c r="AF3527" s="93"/>
      <c r="AG3527" s="93"/>
      <c r="AH3527" s="93"/>
      <c r="AI3527" s="93"/>
      <c r="AJ3527" s="93"/>
    </row>
    <row r="3528" spans="30:36" ht="18">
      <c r="AD3528" s="93"/>
      <c r="AE3528" s="214"/>
      <c r="AF3528" s="93"/>
      <c r="AG3528" s="93"/>
      <c r="AH3528" s="93"/>
      <c r="AI3528" s="93"/>
      <c r="AJ3528" s="93"/>
    </row>
    <row r="3529" spans="30:36" ht="18">
      <c r="AD3529" s="93"/>
      <c r="AE3529" s="214"/>
      <c r="AF3529" s="93"/>
      <c r="AG3529" s="93"/>
      <c r="AH3529" s="93"/>
      <c r="AI3529" s="93"/>
      <c r="AJ3529" s="93"/>
    </row>
    <row r="3530" spans="30:36" ht="18">
      <c r="AD3530" s="93"/>
      <c r="AE3530" s="214"/>
      <c r="AF3530" s="93"/>
      <c r="AG3530" s="93"/>
      <c r="AH3530" s="93"/>
      <c r="AI3530" s="93"/>
      <c r="AJ3530" s="93"/>
    </row>
    <row r="3531" spans="30:36" ht="18">
      <c r="AD3531" s="93"/>
      <c r="AE3531" s="214"/>
      <c r="AF3531" s="93"/>
      <c r="AG3531" s="93"/>
      <c r="AH3531" s="93"/>
      <c r="AI3531" s="93"/>
      <c r="AJ3531" s="93"/>
    </row>
    <row r="3532" spans="30:36" ht="18">
      <c r="AD3532" s="93"/>
      <c r="AE3532" s="214"/>
      <c r="AF3532" s="93"/>
      <c r="AG3532" s="93"/>
      <c r="AH3532" s="93"/>
      <c r="AI3532" s="93"/>
      <c r="AJ3532" s="93"/>
    </row>
    <row r="3533" spans="30:36" ht="18">
      <c r="AD3533" s="93"/>
      <c r="AE3533" s="214"/>
      <c r="AF3533" s="93"/>
      <c r="AG3533" s="93"/>
      <c r="AH3533" s="93"/>
      <c r="AI3533" s="93"/>
      <c r="AJ3533" s="93"/>
    </row>
    <row r="3534" spans="30:36" ht="18">
      <c r="AD3534" s="93"/>
      <c r="AE3534" s="214"/>
      <c r="AF3534" s="93"/>
      <c r="AG3534" s="93"/>
      <c r="AH3534" s="93"/>
      <c r="AI3534" s="93"/>
      <c r="AJ3534" s="93"/>
    </row>
    <row r="3535" spans="30:36" ht="18">
      <c r="AD3535" s="93"/>
      <c r="AE3535" s="214"/>
      <c r="AF3535" s="93"/>
      <c r="AG3535" s="93"/>
      <c r="AH3535" s="93"/>
      <c r="AI3535" s="93"/>
      <c r="AJ3535" s="93"/>
    </row>
    <row r="3536" spans="30:36" ht="18">
      <c r="AD3536" s="93"/>
      <c r="AE3536" s="214"/>
      <c r="AF3536" s="93"/>
      <c r="AG3536" s="93"/>
      <c r="AH3536" s="93"/>
      <c r="AI3536" s="93"/>
      <c r="AJ3536" s="93"/>
    </row>
    <row r="3537" spans="30:36" ht="18">
      <c r="AD3537" s="93"/>
      <c r="AE3537" s="214"/>
      <c r="AF3537" s="93"/>
      <c r="AG3537" s="93"/>
      <c r="AH3537" s="93"/>
      <c r="AI3537" s="93"/>
      <c r="AJ3537" s="93"/>
    </row>
    <row r="3538" spans="30:36" ht="18">
      <c r="AD3538" s="93"/>
      <c r="AE3538" s="214"/>
      <c r="AF3538" s="93"/>
      <c r="AG3538" s="93"/>
      <c r="AH3538" s="93"/>
      <c r="AI3538" s="93"/>
      <c r="AJ3538" s="93"/>
    </row>
    <row r="3539" spans="30:36" ht="18">
      <c r="AD3539" s="93"/>
      <c r="AE3539" s="214"/>
      <c r="AF3539" s="93"/>
      <c r="AG3539" s="93"/>
      <c r="AH3539" s="93"/>
      <c r="AI3539" s="93"/>
      <c r="AJ3539" s="93"/>
    </row>
    <row r="3540" spans="30:36" ht="18">
      <c r="AD3540" s="93"/>
      <c r="AE3540" s="214"/>
      <c r="AF3540" s="93"/>
      <c r="AG3540" s="93"/>
      <c r="AH3540" s="93"/>
      <c r="AI3540" s="93"/>
      <c r="AJ3540" s="93"/>
    </row>
    <row r="3541" spans="30:36" ht="18">
      <c r="AD3541" s="93"/>
      <c r="AE3541" s="214"/>
      <c r="AF3541" s="93"/>
      <c r="AG3541" s="93"/>
      <c r="AH3541" s="93"/>
      <c r="AI3541" s="93"/>
      <c r="AJ3541" s="93"/>
    </row>
    <row r="3542" spans="30:36" ht="18">
      <c r="AD3542" s="93"/>
      <c r="AE3542" s="214"/>
      <c r="AF3542" s="93"/>
      <c r="AG3542" s="93"/>
      <c r="AH3542" s="93"/>
      <c r="AI3542" s="93"/>
      <c r="AJ3542" s="93"/>
    </row>
    <row r="3543" spans="30:36" ht="18">
      <c r="AD3543" s="93"/>
      <c r="AE3543" s="215"/>
      <c r="AF3543" s="93"/>
      <c r="AG3543" s="93"/>
      <c r="AH3543" s="93"/>
      <c r="AI3543" s="93"/>
      <c r="AJ3543" s="93"/>
    </row>
    <row r="3544" spans="30:36" ht="18">
      <c r="AD3544" s="93"/>
      <c r="AE3544" s="214"/>
      <c r="AF3544" s="93"/>
      <c r="AG3544" s="93"/>
      <c r="AH3544" s="93"/>
      <c r="AI3544" s="93"/>
      <c r="AJ3544" s="93"/>
    </row>
    <row r="3545" spans="30:36" ht="18">
      <c r="AD3545" s="93"/>
      <c r="AE3545" s="214"/>
      <c r="AF3545" s="93"/>
      <c r="AG3545" s="93"/>
      <c r="AH3545" s="93"/>
      <c r="AI3545" s="93"/>
      <c r="AJ3545" s="93"/>
    </row>
    <row r="3546" spans="30:36" ht="18">
      <c r="AD3546" s="93"/>
      <c r="AE3546" s="214"/>
      <c r="AF3546" s="93"/>
      <c r="AG3546" s="93"/>
      <c r="AH3546" s="93"/>
      <c r="AI3546" s="93"/>
      <c r="AJ3546" s="93"/>
    </row>
    <row r="3547" spans="30:36" ht="18">
      <c r="AD3547" s="93"/>
      <c r="AE3547" s="214"/>
      <c r="AF3547" s="93"/>
      <c r="AG3547" s="93"/>
      <c r="AH3547" s="93"/>
      <c r="AI3547" s="93"/>
      <c r="AJ3547" s="93"/>
    </row>
    <row r="3548" spans="30:36" ht="18">
      <c r="AD3548" s="93"/>
      <c r="AE3548" s="214"/>
      <c r="AF3548" s="93"/>
      <c r="AG3548" s="93"/>
      <c r="AH3548" s="93"/>
      <c r="AI3548" s="93"/>
      <c r="AJ3548" s="93"/>
    </row>
    <row r="3549" spans="30:36" ht="18">
      <c r="AD3549" s="93"/>
      <c r="AE3549" s="214"/>
      <c r="AF3549" s="93"/>
      <c r="AG3549" s="93"/>
      <c r="AH3549" s="93"/>
      <c r="AI3549" s="93"/>
      <c r="AJ3549" s="93"/>
    </row>
    <row r="3550" spans="30:36" ht="18">
      <c r="AD3550" s="93"/>
      <c r="AE3550" s="214"/>
      <c r="AF3550" s="93"/>
      <c r="AG3550" s="93"/>
      <c r="AH3550" s="93"/>
      <c r="AI3550" s="93"/>
      <c r="AJ3550" s="93"/>
    </row>
    <row r="3551" spans="30:36" ht="18">
      <c r="AD3551" s="93"/>
      <c r="AE3551" s="215"/>
      <c r="AF3551" s="93"/>
      <c r="AG3551" s="93"/>
      <c r="AH3551" s="93"/>
      <c r="AI3551" s="93"/>
      <c r="AJ3551" s="93"/>
    </row>
    <row r="3552" spans="30:36" ht="18">
      <c r="AD3552" s="93"/>
      <c r="AE3552" s="214"/>
      <c r="AF3552" s="93"/>
      <c r="AG3552" s="93"/>
      <c r="AH3552" s="93"/>
      <c r="AI3552" s="93"/>
      <c r="AJ3552" s="93"/>
    </row>
    <row r="3553" spans="30:36" ht="18">
      <c r="AD3553" s="93"/>
      <c r="AE3553" s="214"/>
      <c r="AF3553" s="93"/>
      <c r="AG3553" s="93"/>
      <c r="AH3553" s="93"/>
      <c r="AI3553" s="93"/>
      <c r="AJ3553" s="93"/>
    </row>
    <row r="3554" spans="30:36" ht="18">
      <c r="AD3554" s="93"/>
      <c r="AE3554" s="214"/>
      <c r="AF3554" s="93"/>
      <c r="AG3554" s="93"/>
      <c r="AH3554" s="93"/>
      <c r="AI3554" s="93"/>
      <c r="AJ3554" s="93"/>
    </row>
    <row r="3555" spans="30:36" ht="18">
      <c r="AD3555" s="93"/>
      <c r="AE3555" s="214"/>
      <c r="AF3555" s="93"/>
      <c r="AG3555" s="93"/>
      <c r="AH3555" s="93"/>
      <c r="AI3555" s="93"/>
      <c r="AJ3555" s="93"/>
    </row>
    <row r="3556" spans="30:36" ht="18">
      <c r="AD3556" s="93"/>
      <c r="AE3556" s="214"/>
      <c r="AF3556" s="93"/>
      <c r="AG3556" s="93"/>
      <c r="AH3556" s="93"/>
      <c r="AI3556" s="93"/>
      <c r="AJ3556" s="93"/>
    </row>
    <row r="3557" spans="30:36" ht="18">
      <c r="AD3557" s="93"/>
      <c r="AE3557" s="214"/>
      <c r="AF3557" s="93"/>
      <c r="AG3557" s="93"/>
      <c r="AH3557" s="93"/>
      <c r="AI3557" s="93"/>
      <c r="AJ3557" s="93"/>
    </row>
    <row r="3558" spans="30:36" ht="18">
      <c r="AD3558" s="93"/>
      <c r="AE3558" s="214"/>
      <c r="AF3558" s="93"/>
      <c r="AG3558" s="93"/>
      <c r="AH3558" s="93"/>
      <c r="AI3558" s="93"/>
      <c r="AJ3558" s="93"/>
    </row>
    <row r="3559" spans="30:36" ht="18">
      <c r="AD3559" s="93"/>
      <c r="AE3559" s="214"/>
      <c r="AF3559" s="93"/>
      <c r="AG3559" s="93"/>
      <c r="AH3559" s="93"/>
      <c r="AI3559" s="93"/>
      <c r="AJ3559" s="93"/>
    </row>
    <row r="3560" spans="30:36" ht="18">
      <c r="AD3560" s="93"/>
      <c r="AE3560" s="214"/>
      <c r="AF3560" s="93"/>
      <c r="AG3560" s="93"/>
      <c r="AH3560" s="93"/>
      <c r="AI3560" s="93"/>
      <c r="AJ3560" s="93"/>
    </row>
    <row r="3561" spans="30:36" ht="18">
      <c r="AD3561" s="93"/>
      <c r="AE3561" s="214"/>
      <c r="AF3561" s="93"/>
      <c r="AG3561" s="93"/>
      <c r="AH3561" s="93"/>
      <c r="AI3561" s="93"/>
      <c r="AJ3561" s="93"/>
    </row>
    <row r="3562" spans="30:36" ht="18">
      <c r="AD3562" s="93"/>
      <c r="AE3562" s="214"/>
      <c r="AF3562" s="93"/>
      <c r="AG3562" s="93"/>
      <c r="AH3562" s="93"/>
      <c r="AI3562" s="93"/>
      <c r="AJ3562" s="93"/>
    </row>
    <row r="3563" spans="30:36" ht="18">
      <c r="AD3563" s="93"/>
      <c r="AE3563" s="214"/>
      <c r="AF3563" s="93"/>
      <c r="AG3563" s="93"/>
      <c r="AH3563" s="93"/>
      <c r="AI3563" s="93"/>
      <c r="AJ3563" s="93"/>
    </row>
    <row r="3564" spans="30:36" ht="18">
      <c r="AD3564" s="93"/>
      <c r="AE3564" s="214"/>
      <c r="AF3564" s="93"/>
      <c r="AG3564" s="93"/>
      <c r="AH3564" s="93"/>
      <c r="AI3564" s="93"/>
      <c r="AJ3564" s="93"/>
    </row>
    <row r="3565" spans="30:36" ht="18">
      <c r="AD3565" s="93"/>
      <c r="AE3565" s="214"/>
      <c r="AF3565" s="93"/>
      <c r="AG3565" s="93"/>
      <c r="AH3565" s="93"/>
      <c r="AI3565" s="93"/>
      <c r="AJ3565" s="93"/>
    </row>
    <row r="3566" spans="30:36" ht="18">
      <c r="AD3566" s="93"/>
      <c r="AE3566" s="215"/>
      <c r="AF3566" s="93"/>
      <c r="AG3566" s="93"/>
      <c r="AH3566" s="93"/>
      <c r="AI3566" s="93"/>
      <c r="AJ3566" s="93"/>
    </row>
    <row r="3567" spans="30:36" ht="18">
      <c r="AD3567" s="93"/>
      <c r="AE3567" s="214"/>
      <c r="AF3567" s="93"/>
      <c r="AG3567" s="93"/>
      <c r="AH3567" s="93"/>
      <c r="AI3567" s="93"/>
      <c r="AJ3567" s="93"/>
    </row>
    <row r="3568" spans="30:36" ht="18">
      <c r="AD3568" s="93"/>
      <c r="AE3568" s="214"/>
      <c r="AF3568" s="93"/>
      <c r="AG3568" s="93"/>
      <c r="AH3568" s="93"/>
      <c r="AI3568" s="93"/>
      <c r="AJ3568" s="93"/>
    </row>
    <row r="3569" spans="30:36" ht="18">
      <c r="AD3569" s="93"/>
      <c r="AE3569" s="214"/>
      <c r="AF3569" s="93"/>
      <c r="AG3569" s="93"/>
      <c r="AH3569" s="93"/>
      <c r="AI3569" s="93"/>
      <c r="AJ3569" s="93"/>
    </row>
    <row r="3570" spans="30:36" ht="18">
      <c r="AD3570" s="93"/>
      <c r="AE3570" s="214"/>
      <c r="AF3570" s="93"/>
      <c r="AG3570" s="93"/>
      <c r="AH3570" s="93"/>
      <c r="AI3570" s="93"/>
      <c r="AJ3570" s="93"/>
    </row>
    <row r="3571" spans="30:36" ht="18">
      <c r="AD3571" s="93"/>
      <c r="AE3571" s="214"/>
      <c r="AF3571" s="93"/>
      <c r="AG3571" s="93"/>
      <c r="AH3571" s="93"/>
      <c r="AI3571" s="93"/>
      <c r="AJ3571" s="93"/>
    </row>
    <row r="3572" spans="30:36" ht="18">
      <c r="AD3572" s="93"/>
      <c r="AE3572" s="215"/>
      <c r="AF3572" s="93"/>
      <c r="AG3572" s="93"/>
      <c r="AH3572" s="93"/>
      <c r="AI3572" s="93"/>
      <c r="AJ3572" s="93"/>
    </row>
    <row r="3573" spans="30:36" ht="18">
      <c r="AD3573" s="93"/>
      <c r="AE3573" s="214"/>
      <c r="AF3573" s="93"/>
      <c r="AG3573" s="93"/>
      <c r="AH3573" s="93"/>
      <c r="AI3573" s="93"/>
      <c r="AJ3573" s="93"/>
    </row>
    <row r="3574" spans="30:36" ht="18">
      <c r="AD3574" s="93"/>
      <c r="AE3574" s="214"/>
      <c r="AF3574" s="93"/>
      <c r="AG3574" s="93"/>
      <c r="AH3574" s="93"/>
      <c r="AI3574" s="93"/>
      <c r="AJ3574" s="93"/>
    </row>
    <row r="3575" spans="30:36" ht="18">
      <c r="AD3575" s="93"/>
      <c r="AE3575" s="214"/>
      <c r="AF3575" s="93"/>
      <c r="AG3575" s="93"/>
      <c r="AH3575" s="93"/>
      <c r="AI3575" s="93"/>
      <c r="AJ3575" s="93"/>
    </row>
    <row r="3576" spans="30:36" ht="18">
      <c r="AD3576" s="93"/>
      <c r="AE3576" s="214"/>
      <c r="AF3576" s="93"/>
      <c r="AG3576" s="93"/>
      <c r="AH3576" s="93"/>
      <c r="AI3576" s="93"/>
      <c r="AJ3576" s="93"/>
    </row>
    <row r="3577" spans="30:36" ht="18">
      <c r="AD3577" s="93"/>
      <c r="AE3577" s="214"/>
      <c r="AF3577" s="93"/>
      <c r="AG3577" s="93"/>
      <c r="AH3577" s="93"/>
      <c r="AI3577" s="93"/>
      <c r="AJ3577" s="93"/>
    </row>
    <row r="3578" spans="30:36" ht="18">
      <c r="AD3578" s="93"/>
      <c r="AE3578" s="214"/>
      <c r="AF3578" s="93"/>
      <c r="AG3578" s="93"/>
      <c r="AH3578" s="93"/>
      <c r="AI3578" s="93"/>
      <c r="AJ3578" s="93"/>
    </row>
    <row r="3579" spans="30:36" ht="18">
      <c r="AD3579" s="93"/>
      <c r="AE3579" s="214"/>
      <c r="AF3579" s="93"/>
      <c r="AG3579" s="93"/>
      <c r="AH3579" s="93"/>
      <c r="AI3579" s="93"/>
      <c r="AJ3579" s="93"/>
    </row>
    <row r="3580" spans="30:36" ht="18">
      <c r="AD3580" s="93"/>
      <c r="AE3580" s="214"/>
      <c r="AF3580" s="93"/>
      <c r="AG3580" s="93"/>
      <c r="AH3580" s="93"/>
      <c r="AI3580" s="93"/>
      <c r="AJ3580" s="93"/>
    </row>
    <row r="3581" spans="30:36" ht="18">
      <c r="AD3581" s="93"/>
      <c r="AE3581" s="215"/>
      <c r="AF3581" s="93"/>
      <c r="AG3581" s="93"/>
      <c r="AH3581" s="93"/>
      <c r="AI3581" s="93"/>
      <c r="AJ3581" s="93"/>
    </row>
    <row r="3582" spans="30:36" ht="18">
      <c r="AD3582" s="93"/>
      <c r="AE3582" s="215"/>
      <c r="AF3582" s="93"/>
      <c r="AG3582" s="93"/>
      <c r="AH3582" s="93"/>
      <c r="AI3582" s="93"/>
      <c r="AJ3582" s="93"/>
    </row>
    <row r="3583" spans="30:36" ht="18">
      <c r="AD3583" s="93"/>
      <c r="AE3583" s="214"/>
      <c r="AF3583" s="93"/>
      <c r="AG3583" s="93"/>
      <c r="AH3583" s="93"/>
      <c r="AI3583" s="93"/>
      <c r="AJ3583" s="93"/>
    </row>
    <row r="3584" spans="30:36" ht="18">
      <c r="AD3584" s="93"/>
      <c r="AE3584" s="214"/>
      <c r="AF3584" s="93"/>
      <c r="AG3584" s="93"/>
      <c r="AH3584" s="93"/>
      <c r="AI3584" s="93"/>
      <c r="AJ3584" s="93"/>
    </row>
    <row r="3585" spans="30:36" ht="18">
      <c r="AD3585" s="93"/>
      <c r="AE3585" s="214"/>
      <c r="AF3585" s="93"/>
      <c r="AG3585" s="93"/>
      <c r="AH3585" s="93"/>
      <c r="AI3585" s="93"/>
      <c r="AJ3585" s="93"/>
    </row>
    <row r="3586" spans="30:36" ht="18">
      <c r="AD3586" s="93"/>
      <c r="AE3586" s="214"/>
      <c r="AF3586" s="93"/>
      <c r="AG3586" s="93"/>
      <c r="AH3586" s="93"/>
      <c r="AI3586" s="93"/>
      <c r="AJ3586" s="93"/>
    </row>
    <row r="3587" spans="30:36" ht="18">
      <c r="AD3587" s="93"/>
      <c r="AE3587" s="214"/>
      <c r="AF3587" s="93"/>
      <c r="AG3587" s="93"/>
      <c r="AH3587" s="93"/>
      <c r="AI3587" s="93"/>
      <c r="AJ3587" s="93"/>
    </row>
    <row r="3588" spans="30:36" ht="18">
      <c r="AD3588" s="93"/>
      <c r="AE3588" s="215"/>
      <c r="AF3588" s="93"/>
      <c r="AG3588" s="93"/>
      <c r="AH3588" s="93"/>
      <c r="AI3588" s="93"/>
      <c r="AJ3588" s="93"/>
    </row>
    <row r="3589" spans="30:36" ht="18">
      <c r="AD3589" s="93"/>
      <c r="AE3589" s="215"/>
      <c r="AF3589" s="93"/>
      <c r="AG3589" s="93"/>
      <c r="AH3589" s="93"/>
      <c r="AI3589" s="93"/>
      <c r="AJ3589" s="93"/>
    </row>
    <row r="3590" spans="30:36" ht="18">
      <c r="AD3590" s="93"/>
      <c r="AE3590" s="214"/>
      <c r="AF3590" s="93"/>
      <c r="AG3590" s="93"/>
      <c r="AH3590" s="93"/>
      <c r="AI3590" s="93"/>
      <c r="AJ3590" s="93"/>
    </row>
    <row r="3591" spans="30:36" ht="18">
      <c r="AD3591" s="93"/>
      <c r="AE3591" s="214"/>
      <c r="AF3591" s="93"/>
      <c r="AG3591" s="93"/>
      <c r="AH3591" s="93"/>
      <c r="AI3591" s="93"/>
      <c r="AJ3591" s="93"/>
    </row>
    <row r="3592" spans="30:36" ht="18">
      <c r="AD3592" s="93"/>
      <c r="AE3592" s="214"/>
      <c r="AF3592" s="93"/>
      <c r="AG3592" s="93"/>
      <c r="AH3592" s="93"/>
      <c r="AI3592" s="93"/>
      <c r="AJ3592" s="93"/>
    </row>
    <row r="3593" spans="30:36" ht="18">
      <c r="AD3593" s="93"/>
      <c r="AE3593" s="214"/>
      <c r="AF3593" s="93"/>
      <c r="AG3593" s="93"/>
      <c r="AH3593" s="93"/>
      <c r="AI3593" s="93"/>
      <c r="AJ3593" s="93"/>
    </row>
    <row r="3594" spans="30:36" ht="18">
      <c r="AD3594" s="93"/>
      <c r="AE3594" s="214"/>
      <c r="AF3594" s="93"/>
      <c r="AG3594" s="93"/>
      <c r="AH3594" s="93"/>
      <c r="AI3594" s="93"/>
      <c r="AJ3594" s="93"/>
    </row>
    <row r="3595" spans="30:36" ht="18">
      <c r="AD3595" s="93"/>
      <c r="AE3595" s="214"/>
      <c r="AF3595" s="93"/>
      <c r="AG3595" s="93"/>
      <c r="AH3595" s="93"/>
      <c r="AI3595" s="93"/>
      <c r="AJ3595" s="93"/>
    </row>
    <row r="3596" spans="30:36" ht="18">
      <c r="AD3596" s="93"/>
      <c r="AE3596" s="214"/>
      <c r="AF3596" s="93"/>
      <c r="AG3596" s="93"/>
      <c r="AH3596" s="93"/>
      <c r="AI3596" s="93"/>
      <c r="AJ3596" s="93"/>
    </row>
    <row r="3597" spans="30:36" ht="18">
      <c r="AD3597" s="93"/>
      <c r="AE3597" s="215"/>
      <c r="AF3597" s="93"/>
      <c r="AG3597" s="93"/>
      <c r="AH3597" s="93"/>
      <c r="AI3597" s="93"/>
      <c r="AJ3597" s="93"/>
    </row>
    <row r="3598" spans="30:36" ht="18">
      <c r="AD3598" s="93"/>
      <c r="AE3598" s="215"/>
      <c r="AF3598" s="93"/>
      <c r="AG3598" s="93"/>
      <c r="AH3598" s="93"/>
      <c r="AI3598" s="93"/>
      <c r="AJ3598" s="93"/>
    </row>
    <row r="3599" spans="30:36" ht="18">
      <c r="AD3599" s="93"/>
      <c r="AE3599" s="214"/>
      <c r="AF3599" s="93"/>
      <c r="AG3599" s="93"/>
      <c r="AH3599" s="93"/>
      <c r="AI3599" s="93"/>
      <c r="AJ3599" s="93"/>
    </row>
    <row r="3600" spans="30:36" ht="18">
      <c r="AD3600" s="93"/>
      <c r="AE3600" s="214"/>
      <c r="AF3600" s="93"/>
      <c r="AG3600" s="93"/>
      <c r="AH3600" s="93"/>
      <c r="AI3600" s="93"/>
      <c r="AJ3600" s="93"/>
    </row>
    <row r="3601" spans="30:36" ht="18">
      <c r="AD3601" s="93"/>
      <c r="AE3601" s="214"/>
      <c r="AF3601" s="93"/>
      <c r="AG3601" s="93"/>
      <c r="AH3601" s="93"/>
      <c r="AI3601" s="93"/>
      <c r="AJ3601" s="93"/>
    </row>
    <row r="3602" spans="30:36" ht="18">
      <c r="AD3602" s="93"/>
      <c r="AE3602" s="215"/>
      <c r="AF3602" s="93"/>
      <c r="AG3602" s="93"/>
      <c r="AH3602" s="93"/>
      <c r="AI3602" s="93"/>
      <c r="AJ3602" s="93"/>
    </row>
    <row r="3603" spans="30:36" ht="18">
      <c r="AD3603" s="93"/>
      <c r="AE3603" s="214"/>
      <c r="AF3603" s="93"/>
      <c r="AG3603" s="93"/>
      <c r="AH3603" s="93"/>
      <c r="AI3603" s="93"/>
      <c r="AJ3603" s="93"/>
    </row>
    <row r="3604" spans="30:36" ht="18">
      <c r="AD3604" s="93"/>
      <c r="AE3604" s="214"/>
      <c r="AF3604" s="93"/>
      <c r="AG3604" s="93"/>
      <c r="AH3604" s="93"/>
      <c r="AI3604" s="93"/>
      <c r="AJ3604" s="93"/>
    </row>
    <row r="3605" spans="30:36" ht="18">
      <c r="AD3605" s="93"/>
      <c r="AE3605" s="214"/>
      <c r="AF3605" s="93"/>
      <c r="AG3605" s="93"/>
      <c r="AH3605" s="93"/>
      <c r="AI3605" s="93"/>
      <c r="AJ3605" s="93"/>
    </row>
    <row r="3606" spans="30:36" ht="18">
      <c r="AD3606" s="93"/>
      <c r="AE3606" s="214"/>
      <c r="AF3606" s="93"/>
      <c r="AG3606" s="93"/>
      <c r="AH3606" s="93"/>
      <c r="AI3606" s="93"/>
      <c r="AJ3606" s="93"/>
    </row>
    <row r="3607" spans="30:36" ht="18">
      <c r="AD3607" s="93"/>
      <c r="AE3607" s="214"/>
      <c r="AF3607" s="93"/>
      <c r="AG3607" s="93"/>
      <c r="AH3607" s="93"/>
      <c r="AI3607" s="93"/>
      <c r="AJ3607" s="93"/>
    </row>
    <row r="3608" spans="30:36" ht="18">
      <c r="AD3608" s="93"/>
      <c r="AE3608" s="214"/>
      <c r="AF3608" s="93"/>
      <c r="AG3608" s="93"/>
      <c r="AH3608" s="93"/>
      <c r="AI3608" s="93"/>
      <c r="AJ3608" s="93"/>
    </row>
    <row r="3609" spans="30:36" ht="18">
      <c r="AD3609" s="93"/>
      <c r="AE3609" s="214"/>
      <c r="AF3609" s="93"/>
      <c r="AG3609" s="93"/>
      <c r="AH3609" s="93"/>
      <c r="AI3609" s="93"/>
      <c r="AJ3609" s="93"/>
    </row>
    <row r="3610" spans="30:36" ht="18">
      <c r="AD3610" s="93"/>
      <c r="AE3610" s="214"/>
      <c r="AF3610" s="93"/>
      <c r="AG3610" s="93"/>
      <c r="AH3610" s="93"/>
      <c r="AI3610" s="93"/>
      <c r="AJ3610" s="93"/>
    </row>
    <row r="3611" spans="30:36" ht="18">
      <c r="AD3611" s="93"/>
      <c r="AE3611" s="214"/>
      <c r="AF3611" s="93"/>
      <c r="AG3611" s="93"/>
      <c r="AH3611" s="93"/>
      <c r="AI3611" s="93"/>
      <c r="AJ3611" s="93"/>
    </row>
    <row r="3612" spans="30:36" ht="18">
      <c r="AD3612" s="93"/>
      <c r="AE3612" s="214"/>
      <c r="AF3612" s="93"/>
      <c r="AG3612" s="93"/>
      <c r="AH3612" s="93"/>
      <c r="AI3612" s="93"/>
      <c r="AJ3612" s="93"/>
    </row>
    <row r="3613" spans="30:36" ht="18">
      <c r="AD3613" s="93"/>
      <c r="AE3613" s="214"/>
      <c r="AF3613" s="93"/>
      <c r="AG3613" s="93"/>
      <c r="AH3613" s="93"/>
      <c r="AI3613" s="93"/>
      <c r="AJ3613" s="93"/>
    </row>
    <row r="3614" spans="30:36" ht="18">
      <c r="AD3614" s="93"/>
      <c r="AE3614" s="214"/>
      <c r="AF3614" s="93"/>
      <c r="AG3614" s="93"/>
      <c r="AH3614" s="93"/>
      <c r="AI3614" s="93"/>
      <c r="AJ3614" s="93"/>
    </row>
    <row r="3615" spans="30:36" ht="18">
      <c r="AD3615" s="93"/>
      <c r="AE3615" s="214"/>
      <c r="AF3615" s="93"/>
      <c r="AG3615" s="93"/>
      <c r="AH3615" s="93"/>
      <c r="AI3615" s="93"/>
      <c r="AJ3615" s="93"/>
    </row>
    <row r="3616" spans="30:36" ht="18">
      <c r="AD3616" s="93"/>
      <c r="AE3616" s="214"/>
      <c r="AF3616" s="93"/>
      <c r="AG3616" s="93"/>
      <c r="AH3616" s="93"/>
      <c r="AI3616" s="93"/>
      <c r="AJ3616" s="93"/>
    </row>
    <row r="3617" spans="30:36" ht="18">
      <c r="AD3617" s="93"/>
      <c r="AE3617" s="214"/>
      <c r="AF3617" s="93"/>
      <c r="AG3617" s="93"/>
      <c r="AH3617" s="93"/>
      <c r="AI3617" s="93"/>
      <c r="AJ3617" s="93"/>
    </row>
    <row r="3618" spans="30:36" ht="18">
      <c r="AD3618" s="93"/>
      <c r="AE3618" s="215"/>
      <c r="AF3618" s="93"/>
      <c r="AG3618" s="93"/>
      <c r="AH3618" s="93"/>
      <c r="AI3618" s="93"/>
      <c r="AJ3618" s="93"/>
    </row>
    <row r="3619" spans="30:36" ht="18">
      <c r="AD3619" s="93"/>
      <c r="AE3619" s="215"/>
      <c r="AF3619" s="93"/>
      <c r="AG3619" s="93"/>
      <c r="AH3619" s="93"/>
      <c r="AI3619" s="93"/>
      <c r="AJ3619" s="93"/>
    </row>
    <row r="3620" spans="30:36" ht="18">
      <c r="AD3620" s="93"/>
      <c r="AE3620" s="214"/>
      <c r="AF3620" s="93"/>
      <c r="AG3620" s="93"/>
      <c r="AH3620" s="93"/>
      <c r="AI3620" s="93"/>
      <c r="AJ3620" s="93"/>
    </row>
    <row r="3621" spans="30:36" ht="18">
      <c r="AD3621" s="93"/>
      <c r="AE3621" s="214"/>
      <c r="AF3621" s="93"/>
      <c r="AG3621" s="93"/>
      <c r="AH3621" s="93"/>
      <c r="AI3621" s="93"/>
      <c r="AJ3621" s="93"/>
    </row>
    <row r="3622" spans="30:36" ht="18">
      <c r="AD3622" s="93"/>
      <c r="AE3622" s="214"/>
      <c r="AF3622" s="93"/>
      <c r="AG3622" s="93"/>
      <c r="AH3622" s="93"/>
      <c r="AI3622" s="93"/>
      <c r="AJ3622" s="93"/>
    </row>
    <row r="3623" spans="30:36" ht="18">
      <c r="AD3623" s="93"/>
      <c r="AE3623" s="214"/>
      <c r="AF3623" s="93"/>
      <c r="AG3623" s="93"/>
      <c r="AH3623" s="93"/>
      <c r="AI3623" s="93"/>
      <c r="AJ3623" s="93"/>
    </row>
    <row r="3624" spans="30:36" ht="18">
      <c r="AD3624" s="93"/>
      <c r="AE3624" s="214"/>
      <c r="AF3624" s="93"/>
      <c r="AG3624" s="93"/>
      <c r="AH3624" s="93"/>
      <c r="AI3624" s="93"/>
      <c r="AJ3624" s="93"/>
    </row>
    <row r="3625" spans="30:36" ht="18">
      <c r="AD3625" s="93"/>
      <c r="AE3625" s="214"/>
      <c r="AF3625" s="93"/>
      <c r="AG3625" s="93"/>
      <c r="AH3625" s="93"/>
      <c r="AI3625" s="93"/>
      <c r="AJ3625" s="93"/>
    </row>
    <row r="3626" spans="30:36" ht="18">
      <c r="AD3626" s="93"/>
      <c r="AE3626" s="214"/>
      <c r="AF3626" s="93"/>
      <c r="AG3626" s="93"/>
      <c r="AH3626" s="93"/>
      <c r="AI3626" s="93"/>
      <c r="AJ3626" s="93"/>
    </row>
    <row r="3627" spans="30:36" ht="18">
      <c r="AD3627" s="93"/>
      <c r="AE3627" s="214"/>
      <c r="AF3627" s="93"/>
      <c r="AG3627" s="93"/>
      <c r="AH3627" s="93"/>
      <c r="AI3627" s="93"/>
      <c r="AJ3627" s="93"/>
    </row>
    <row r="3628" spans="30:36" ht="18">
      <c r="AD3628" s="93"/>
      <c r="AE3628" s="214"/>
      <c r="AF3628" s="93"/>
      <c r="AG3628" s="93"/>
      <c r="AH3628" s="93"/>
      <c r="AI3628" s="93"/>
      <c r="AJ3628" s="93"/>
    </row>
    <row r="3629" spans="30:36" ht="18">
      <c r="AD3629" s="93"/>
      <c r="AE3629" s="214"/>
      <c r="AF3629" s="93"/>
      <c r="AG3629" s="93"/>
      <c r="AH3629" s="93"/>
      <c r="AI3629" s="93"/>
      <c r="AJ3629" s="93"/>
    </row>
    <row r="3630" spans="30:36" ht="18">
      <c r="AD3630" s="93"/>
      <c r="AE3630" s="214"/>
      <c r="AF3630" s="93"/>
      <c r="AG3630" s="93"/>
      <c r="AH3630" s="93"/>
      <c r="AI3630" s="93"/>
      <c r="AJ3630" s="93"/>
    </row>
    <row r="3631" spans="30:36" ht="18">
      <c r="AD3631" s="93"/>
      <c r="AE3631" s="214"/>
      <c r="AF3631" s="93"/>
      <c r="AG3631" s="93"/>
      <c r="AH3631" s="93"/>
      <c r="AI3631" s="93"/>
      <c r="AJ3631" s="93"/>
    </row>
    <row r="3632" spans="30:36" ht="18">
      <c r="AD3632" s="93"/>
      <c r="AE3632" s="214"/>
      <c r="AF3632" s="93"/>
      <c r="AG3632" s="93"/>
      <c r="AH3632" s="93"/>
      <c r="AI3632" s="93"/>
      <c r="AJ3632" s="93"/>
    </row>
    <row r="3633" spans="30:36" ht="18">
      <c r="AD3633" s="93"/>
      <c r="AE3633" s="214"/>
      <c r="AF3633" s="93"/>
      <c r="AG3633" s="93"/>
      <c r="AH3633" s="93"/>
      <c r="AI3633" s="93"/>
      <c r="AJ3633" s="93"/>
    </row>
    <row r="3634" spans="30:36" ht="18">
      <c r="AD3634" s="93"/>
      <c r="AE3634" s="214"/>
      <c r="AF3634" s="93"/>
      <c r="AG3634" s="93"/>
      <c r="AH3634" s="93"/>
      <c r="AI3634" s="93"/>
      <c r="AJ3634" s="93"/>
    </row>
    <row r="3635" spans="30:36" ht="18">
      <c r="AD3635" s="93"/>
      <c r="AE3635" s="214"/>
      <c r="AF3635" s="93"/>
      <c r="AG3635" s="93"/>
      <c r="AH3635" s="93"/>
      <c r="AI3635" s="93"/>
      <c r="AJ3635" s="93"/>
    </row>
    <row r="3636" spans="30:36" ht="18">
      <c r="AD3636" s="93"/>
      <c r="AE3636" s="214"/>
      <c r="AF3636" s="93"/>
      <c r="AG3636" s="93"/>
      <c r="AH3636" s="93"/>
      <c r="AI3636" s="93"/>
      <c r="AJ3636" s="93"/>
    </row>
    <row r="3637" spans="30:36" ht="18">
      <c r="AD3637" s="93"/>
      <c r="AE3637" s="214"/>
      <c r="AF3637" s="93"/>
      <c r="AG3637" s="93"/>
      <c r="AH3637" s="93"/>
      <c r="AI3637" s="93"/>
      <c r="AJ3637" s="93"/>
    </row>
    <row r="3638" spans="30:36" ht="18">
      <c r="AD3638" s="93"/>
      <c r="AE3638" s="214"/>
      <c r="AF3638" s="93"/>
      <c r="AG3638" s="93"/>
      <c r="AH3638" s="93"/>
      <c r="AI3638" s="93"/>
      <c r="AJ3638" s="93"/>
    </row>
    <row r="3639" spans="30:36" ht="18">
      <c r="AD3639" s="93"/>
      <c r="AE3639" s="214"/>
      <c r="AF3639" s="93"/>
      <c r="AG3639" s="93"/>
      <c r="AH3639" s="93"/>
      <c r="AI3639" s="93"/>
      <c r="AJ3639" s="93"/>
    </row>
    <row r="3640" spans="30:36" ht="18">
      <c r="AD3640" s="93"/>
      <c r="AE3640" s="214"/>
      <c r="AF3640" s="93"/>
      <c r="AG3640" s="93"/>
      <c r="AH3640" s="93"/>
      <c r="AI3640" s="93"/>
      <c r="AJ3640" s="93"/>
    </row>
    <row r="3641" spans="30:36" ht="18">
      <c r="AD3641" s="93"/>
      <c r="AE3641" s="214"/>
      <c r="AF3641" s="93"/>
      <c r="AG3641" s="93"/>
      <c r="AH3641" s="93"/>
      <c r="AI3641" s="93"/>
      <c r="AJ3641" s="93"/>
    </row>
    <row r="3642" spans="30:36" ht="18">
      <c r="AD3642" s="93"/>
      <c r="AE3642" s="214"/>
      <c r="AF3642" s="93"/>
      <c r="AG3642" s="93"/>
      <c r="AH3642" s="93"/>
      <c r="AI3642" s="93"/>
      <c r="AJ3642" s="93"/>
    </row>
    <row r="3643" spans="30:36" ht="18">
      <c r="AD3643" s="93"/>
      <c r="AE3643" s="214"/>
      <c r="AF3643" s="93"/>
      <c r="AG3643" s="93"/>
      <c r="AH3643" s="93"/>
      <c r="AI3643" s="93"/>
      <c r="AJ3643" s="93"/>
    </row>
    <row r="3644" spans="30:36" ht="18">
      <c r="AD3644" s="93"/>
      <c r="AE3644" s="214"/>
      <c r="AF3644" s="93"/>
      <c r="AG3644" s="93"/>
      <c r="AH3644" s="93"/>
      <c r="AI3644" s="93"/>
      <c r="AJ3644" s="93"/>
    </row>
    <row r="3645" spans="30:36" ht="18">
      <c r="AD3645" s="93"/>
      <c r="AE3645" s="214"/>
      <c r="AF3645" s="93"/>
      <c r="AG3645" s="93"/>
      <c r="AH3645" s="93"/>
      <c r="AI3645" s="93"/>
      <c r="AJ3645" s="93"/>
    </row>
    <row r="3646" spans="30:36" ht="18">
      <c r="AD3646" s="93"/>
      <c r="AE3646" s="214"/>
      <c r="AF3646" s="93"/>
      <c r="AG3646" s="93"/>
      <c r="AH3646" s="93"/>
      <c r="AI3646" s="93"/>
      <c r="AJ3646" s="93"/>
    </row>
    <row r="3647" spans="30:36" ht="18">
      <c r="AD3647" s="93"/>
      <c r="AE3647" s="214"/>
      <c r="AF3647" s="93"/>
      <c r="AG3647" s="93"/>
      <c r="AH3647" s="93"/>
      <c r="AI3647" s="93"/>
      <c r="AJ3647" s="93"/>
    </row>
    <row r="3648" spans="30:36" ht="18">
      <c r="AD3648" s="93"/>
      <c r="AE3648" s="214"/>
      <c r="AF3648" s="93"/>
      <c r="AG3648" s="93"/>
      <c r="AH3648" s="93"/>
      <c r="AI3648" s="93"/>
      <c r="AJ3648" s="93"/>
    </row>
    <row r="3649" spans="30:36" ht="18">
      <c r="AD3649" s="93"/>
      <c r="AE3649" s="214"/>
      <c r="AF3649" s="93"/>
      <c r="AG3649" s="93"/>
      <c r="AH3649" s="93"/>
      <c r="AI3649" s="93"/>
      <c r="AJ3649" s="93"/>
    </row>
    <row r="3650" spans="30:36" ht="18">
      <c r="AD3650" s="93"/>
      <c r="AE3650" s="214"/>
      <c r="AF3650" s="93"/>
      <c r="AG3650" s="93"/>
      <c r="AH3650" s="93"/>
      <c r="AI3650" s="93"/>
      <c r="AJ3650" s="93"/>
    </row>
    <row r="3651" spans="30:36" ht="18">
      <c r="AD3651" s="93"/>
      <c r="AE3651" s="214"/>
      <c r="AF3651" s="93"/>
      <c r="AG3651" s="93"/>
      <c r="AH3651" s="93"/>
      <c r="AI3651" s="93"/>
      <c r="AJ3651" s="93"/>
    </row>
    <row r="3652" spans="30:36" ht="18">
      <c r="AD3652" s="93"/>
      <c r="AE3652" s="214"/>
      <c r="AF3652" s="93"/>
      <c r="AG3652" s="93"/>
      <c r="AH3652" s="93"/>
      <c r="AI3652" s="93"/>
      <c r="AJ3652" s="93"/>
    </row>
    <row r="3653" spans="30:36" ht="18">
      <c r="AD3653" s="93"/>
      <c r="AE3653" s="214"/>
      <c r="AF3653" s="93"/>
      <c r="AG3653" s="93"/>
      <c r="AH3653" s="93"/>
      <c r="AI3653" s="93"/>
      <c r="AJ3653" s="93"/>
    </row>
    <row r="3654" spans="30:36" ht="18">
      <c r="AD3654" s="93"/>
      <c r="AE3654" s="214"/>
      <c r="AF3654" s="93"/>
      <c r="AG3654" s="93"/>
      <c r="AH3654" s="93"/>
      <c r="AI3654" s="93"/>
      <c r="AJ3654" s="93"/>
    </row>
    <row r="3655" spans="30:36" ht="18">
      <c r="AD3655" s="93"/>
      <c r="AE3655" s="214"/>
      <c r="AF3655" s="93"/>
      <c r="AG3655" s="93"/>
      <c r="AH3655" s="93"/>
      <c r="AI3655" s="93"/>
      <c r="AJ3655" s="93"/>
    </row>
    <row r="3656" spans="30:36" ht="18">
      <c r="AD3656" s="93"/>
      <c r="AE3656" s="214"/>
      <c r="AF3656" s="93"/>
      <c r="AG3656" s="93"/>
      <c r="AH3656" s="93"/>
      <c r="AI3656" s="93"/>
      <c r="AJ3656" s="93"/>
    </row>
    <row r="3657" spans="30:36" ht="18">
      <c r="AD3657" s="93"/>
      <c r="AE3657" s="214"/>
      <c r="AF3657" s="93"/>
      <c r="AG3657" s="93"/>
      <c r="AH3657" s="93"/>
      <c r="AI3657" s="93"/>
      <c r="AJ3657" s="93"/>
    </row>
    <row r="3658" spans="30:36" ht="18">
      <c r="AD3658" s="93"/>
      <c r="AE3658" s="214"/>
      <c r="AF3658" s="93"/>
      <c r="AG3658" s="93"/>
      <c r="AH3658" s="93"/>
      <c r="AI3658" s="93"/>
      <c r="AJ3658" s="93"/>
    </row>
    <row r="3659" spans="30:36" ht="18">
      <c r="AD3659" s="93"/>
      <c r="AE3659" s="214"/>
      <c r="AF3659" s="93"/>
      <c r="AG3659" s="93"/>
      <c r="AH3659" s="93"/>
      <c r="AI3659" s="93"/>
      <c r="AJ3659" s="93"/>
    </row>
    <row r="3660" spans="30:36" ht="18">
      <c r="AD3660" s="93"/>
      <c r="AE3660" s="214"/>
      <c r="AF3660" s="93"/>
      <c r="AG3660" s="93"/>
      <c r="AH3660" s="93"/>
      <c r="AI3660" s="93"/>
      <c r="AJ3660" s="93"/>
    </row>
    <row r="3661" spans="30:36" ht="18">
      <c r="AD3661" s="93"/>
      <c r="AE3661" s="214"/>
      <c r="AF3661" s="93"/>
      <c r="AG3661" s="93"/>
      <c r="AH3661" s="93"/>
      <c r="AI3661" s="93"/>
      <c r="AJ3661" s="93"/>
    </row>
    <row r="3662" spans="30:36" ht="18">
      <c r="AD3662" s="93"/>
      <c r="AE3662" s="214"/>
      <c r="AF3662" s="93"/>
      <c r="AG3662" s="93"/>
      <c r="AH3662" s="93"/>
      <c r="AI3662" s="93"/>
      <c r="AJ3662" s="93"/>
    </row>
    <row r="3663" spans="30:36" ht="18">
      <c r="AD3663" s="93"/>
      <c r="AE3663" s="214"/>
      <c r="AF3663" s="93"/>
      <c r="AG3663" s="93"/>
      <c r="AH3663" s="93"/>
      <c r="AI3663" s="93"/>
      <c r="AJ3663" s="93"/>
    </row>
    <row r="3664" spans="30:36" ht="18">
      <c r="AD3664" s="93"/>
      <c r="AE3664" s="214"/>
      <c r="AF3664" s="93"/>
      <c r="AG3664" s="93"/>
      <c r="AH3664" s="93"/>
      <c r="AI3664" s="93"/>
      <c r="AJ3664" s="93"/>
    </row>
    <row r="3665" spans="30:36" ht="18">
      <c r="AD3665" s="93"/>
      <c r="AE3665" s="214"/>
      <c r="AF3665" s="93"/>
      <c r="AG3665" s="93"/>
      <c r="AH3665" s="93"/>
      <c r="AI3665" s="93"/>
      <c r="AJ3665" s="93"/>
    </row>
    <row r="3666" spans="30:36" ht="18">
      <c r="AD3666" s="93"/>
      <c r="AE3666" s="214"/>
      <c r="AF3666" s="93"/>
      <c r="AG3666" s="93"/>
      <c r="AH3666" s="93"/>
      <c r="AI3666" s="93"/>
      <c r="AJ3666" s="93"/>
    </row>
    <row r="3667" spans="30:36" ht="18">
      <c r="AD3667" s="93"/>
      <c r="AE3667" s="214"/>
      <c r="AF3667" s="93"/>
      <c r="AG3667" s="93"/>
      <c r="AH3667" s="93"/>
      <c r="AI3667" s="93"/>
      <c r="AJ3667" s="93"/>
    </row>
    <row r="3668" spans="30:36" ht="18">
      <c r="AD3668" s="93"/>
      <c r="AE3668" s="214"/>
      <c r="AF3668" s="93"/>
      <c r="AG3668" s="93"/>
      <c r="AH3668" s="93"/>
      <c r="AI3668" s="93"/>
      <c r="AJ3668" s="93"/>
    </row>
    <row r="3669" spans="30:36" ht="18">
      <c r="AD3669" s="93"/>
      <c r="AE3669" s="214"/>
      <c r="AF3669" s="93"/>
      <c r="AG3669" s="93"/>
      <c r="AH3669" s="93"/>
      <c r="AI3669" s="93"/>
      <c r="AJ3669" s="93"/>
    </row>
    <row r="3670" spans="30:36" ht="18">
      <c r="AD3670" s="93"/>
      <c r="AE3670" s="214"/>
      <c r="AF3670" s="93"/>
      <c r="AG3670" s="93"/>
      <c r="AH3670" s="93"/>
      <c r="AI3670" s="93"/>
      <c r="AJ3670" s="93"/>
    </row>
    <row r="3671" spans="30:36" ht="18">
      <c r="AD3671" s="93"/>
      <c r="AE3671" s="214"/>
      <c r="AF3671" s="93"/>
      <c r="AG3671" s="93"/>
      <c r="AH3671" s="93"/>
      <c r="AI3671" s="93"/>
      <c r="AJ3671" s="93"/>
    </row>
    <row r="3672" spans="30:36" ht="18">
      <c r="AD3672" s="93"/>
      <c r="AE3672" s="214"/>
      <c r="AF3672" s="93"/>
      <c r="AG3672" s="93"/>
      <c r="AH3672" s="93"/>
      <c r="AI3672" s="93"/>
      <c r="AJ3672" s="93"/>
    </row>
    <row r="3673" spans="30:36" ht="18">
      <c r="AD3673" s="93"/>
      <c r="AE3673" s="214"/>
      <c r="AF3673" s="93"/>
      <c r="AG3673" s="93"/>
      <c r="AH3673" s="93"/>
      <c r="AI3673" s="93"/>
      <c r="AJ3673" s="93"/>
    </row>
    <row r="3674" spans="30:36" ht="18">
      <c r="AD3674" s="93"/>
      <c r="AE3674" s="214"/>
      <c r="AF3674" s="93"/>
      <c r="AG3674" s="93"/>
      <c r="AH3674" s="93"/>
      <c r="AI3674" s="93"/>
      <c r="AJ3674" s="93"/>
    </row>
    <row r="3675" spans="30:36" ht="18">
      <c r="AD3675" s="93"/>
      <c r="AE3675" s="214"/>
      <c r="AF3675" s="93"/>
      <c r="AG3675" s="93"/>
      <c r="AH3675" s="93"/>
      <c r="AI3675" s="93"/>
      <c r="AJ3675" s="93"/>
    </row>
    <row r="3676" spans="30:36" ht="18">
      <c r="AD3676" s="93"/>
      <c r="AE3676" s="214"/>
      <c r="AF3676" s="93"/>
      <c r="AG3676" s="93"/>
      <c r="AH3676" s="93"/>
      <c r="AI3676" s="93"/>
      <c r="AJ3676" s="93"/>
    </row>
    <row r="3677" spans="30:36" ht="18">
      <c r="AD3677" s="93"/>
      <c r="AE3677" s="214"/>
      <c r="AF3677" s="93"/>
      <c r="AG3677" s="93"/>
      <c r="AH3677" s="93"/>
      <c r="AI3677" s="93"/>
      <c r="AJ3677" s="93"/>
    </row>
    <row r="3678" spans="30:36" ht="18">
      <c r="AD3678" s="93"/>
      <c r="AE3678" s="214"/>
      <c r="AF3678" s="93"/>
      <c r="AG3678" s="93"/>
      <c r="AH3678" s="93"/>
      <c r="AI3678" s="93"/>
      <c r="AJ3678" s="93"/>
    </row>
    <row r="3679" spans="30:36" ht="18">
      <c r="AD3679" s="93"/>
      <c r="AE3679" s="214"/>
      <c r="AF3679" s="93"/>
      <c r="AG3679" s="93"/>
      <c r="AH3679" s="93"/>
      <c r="AI3679" s="93"/>
      <c r="AJ3679" s="93"/>
    </row>
    <row r="3680" spans="30:36" ht="18">
      <c r="AD3680" s="93"/>
      <c r="AE3680" s="214"/>
      <c r="AF3680" s="93"/>
      <c r="AG3680" s="93"/>
      <c r="AH3680" s="93"/>
      <c r="AI3680" s="93"/>
      <c r="AJ3680" s="93"/>
    </row>
    <row r="3681" spans="30:36" ht="18">
      <c r="AD3681" s="93"/>
      <c r="AE3681" s="214"/>
      <c r="AF3681" s="93"/>
      <c r="AG3681" s="93"/>
      <c r="AH3681" s="93"/>
      <c r="AI3681" s="93"/>
      <c r="AJ3681" s="93"/>
    </row>
    <row r="3682" spans="30:36" ht="18">
      <c r="AD3682" s="93"/>
      <c r="AE3682" s="214"/>
      <c r="AF3682" s="93"/>
      <c r="AG3682" s="93"/>
      <c r="AH3682" s="93"/>
      <c r="AI3682" s="93"/>
      <c r="AJ3682" s="93"/>
    </row>
    <row r="3683" spans="30:36" ht="18">
      <c r="AD3683" s="93"/>
      <c r="AE3683" s="214"/>
      <c r="AF3683" s="93"/>
      <c r="AG3683" s="93"/>
      <c r="AH3683" s="93"/>
      <c r="AI3683" s="93"/>
      <c r="AJ3683" s="93"/>
    </row>
    <row r="3684" spans="30:36" ht="18">
      <c r="AD3684" s="93"/>
      <c r="AE3684" s="214"/>
      <c r="AF3684" s="93"/>
      <c r="AG3684" s="93"/>
      <c r="AH3684" s="93"/>
      <c r="AI3684" s="93"/>
      <c r="AJ3684" s="93"/>
    </row>
    <row r="3685" spans="30:36" ht="18">
      <c r="AD3685" s="93"/>
      <c r="AE3685" s="214"/>
      <c r="AF3685" s="93"/>
      <c r="AG3685" s="93"/>
      <c r="AH3685" s="93"/>
      <c r="AI3685" s="93"/>
      <c r="AJ3685" s="93"/>
    </row>
    <row r="3686" spans="30:36" ht="18">
      <c r="AD3686" s="93"/>
      <c r="AE3686" s="214"/>
      <c r="AF3686" s="93"/>
      <c r="AG3686" s="93"/>
      <c r="AH3686" s="93"/>
      <c r="AI3686" s="93"/>
      <c r="AJ3686" s="93"/>
    </row>
    <row r="3687" spans="30:36" ht="18">
      <c r="AD3687" s="93"/>
      <c r="AE3687" s="214"/>
      <c r="AF3687" s="93"/>
      <c r="AG3687" s="93"/>
      <c r="AH3687" s="93"/>
      <c r="AI3687" s="93"/>
      <c r="AJ3687" s="93"/>
    </row>
    <row r="3688" spans="30:36" ht="18">
      <c r="AD3688" s="93"/>
      <c r="AE3688" s="214"/>
      <c r="AF3688" s="93"/>
      <c r="AG3688" s="93"/>
      <c r="AH3688" s="93"/>
      <c r="AI3688" s="93"/>
      <c r="AJ3688" s="93"/>
    </row>
    <row r="3689" spans="30:36" ht="18">
      <c r="AD3689" s="93"/>
      <c r="AE3689" s="214"/>
      <c r="AF3689" s="93"/>
      <c r="AG3689" s="93"/>
      <c r="AH3689" s="93"/>
      <c r="AI3689" s="93"/>
      <c r="AJ3689" s="93"/>
    </row>
    <row r="3690" spans="30:36" ht="18">
      <c r="AD3690" s="93"/>
      <c r="AE3690" s="214"/>
      <c r="AF3690" s="93"/>
      <c r="AG3690" s="93"/>
      <c r="AH3690" s="93"/>
      <c r="AI3690" s="93"/>
      <c r="AJ3690" s="93"/>
    </row>
    <row r="3691" spans="30:36" ht="18">
      <c r="AD3691" s="93"/>
      <c r="AE3691" s="214"/>
      <c r="AF3691" s="93"/>
      <c r="AG3691" s="93"/>
      <c r="AH3691" s="93"/>
      <c r="AI3691" s="93"/>
      <c r="AJ3691" s="93"/>
    </row>
    <row r="3692" spans="30:36" ht="18">
      <c r="AD3692" s="93"/>
      <c r="AE3692" s="214"/>
      <c r="AF3692" s="93"/>
      <c r="AG3692" s="93"/>
      <c r="AH3692" s="93"/>
      <c r="AI3692" s="93"/>
      <c r="AJ3692" s="93"/>
    </row>
    <row r="3693" spans="30:36" ht="18">
      <c r="AD3693" s="93"/>
      <c r="AE3693" s="214"/>
      <c r="AF3693" s="93"/>
      <c r="AG3693" s="93"/>
      <c r="AH3693" s="93"/>
      <c r="AI3693" s="93"/>
      <c r="AJ3693" s="93"/>
    </row>
    <row r="3694" spans="30:36" ht="18">
      <c r="AD3694" s="93"/>
      <c r="AE3694" s="215"/>
      <c r="AF3694" s="93"/>
      <c r="AG3694" s="93"/>
      <c r="AH3694" s="93"/>
      <c r="AI3694" s="93"/>
      <c r="AJ3694" s="93"/>
    </row>
    <row r="3695" spans="30:36" ht="18">
      <c r="AD3695" s="93"/>
      <c r="AE3695" s="214"/>
      <c r="AF3695" s="93"/>
      <c r="AG3695" s="93"/>
      <c r="AH3695" s="93"/>
      <c r="AI3695" s="93"/>
      <c r="AJ3695" s="93"/>
    </row>
    <row r="3696" spans="30:36" ht="18">
      <c r="AD3696" s="93"/>
      <c r="AE3696" s="214"/>
      <c r="AF3696" s="93"/>
      <c r="AG3696" s="93"/>
      <c r="AH3696" s="93"/>
      <c r="AI3696" s="93"/>
      <c r="AJ3696" s="93"/>
    </row>
    <row r="3697" spans="30:36" ht="18">
      <c r="AD3697" s="93"/>
      <c r="AE3697" s="214"/>
      <c r="AF3697" s="93"/>
      <c r="AG3697" s="93"/>
      <c r="AH3697" s="93"/>
      <c r="AI3697" s="93"/>
      <c r="AJ3697" s="93"/>
    </row>
    <row r="3698" spans="30:36" ht="18">
      <c r="AD3698" s="93"/>
      <c r="AE3698" s="214"/>
      <c r="AF3698" s="93"/>
      <c r="AG3698" s="93"/>
      <c r="AH3698" s="93"/>
      <c r="AI3698" s="93"/>
      <c r="AJ3698" s="93"/>
    </row>
    <row r="3699" spans="30:36" ht="18">
      <c r="AD3699" s="93"/>
      <c r="AE3699" s="214"/>
      <c r="AF3699" s="93"/>
      <c r="AG3699" s="93"/>
      <c r="AH3699" s="93"/>
      <c r="AI3699" s="93"/>
      <c r="AJ3699" s="93"/>
    </row>
    <row r="3700" spans="30:36" ht="18">
      <c r="AD3700" s="93"/>
      <c r="AE3700" s="214"/>
      <c r="AF3700" s="93"/>
      <c r="AG3700" s="93"/>
      <c r="AH3700" s="93"/>
      <c r="AI3700" s="93"/>
      <c r="AJ3700" s="93"/>
    </row>
    <row r="3701" spans="30:36" ht="18">
      <c r="AD3701" s="93"/>
      <c r="AE3701" s="214"/>
      <c r="AF3701" s="93"/>
      <c r="AG3701" s="93"/>
      <c r="AH3701" s="93"/>
      <c r="AI3701" s="93"/>
      <c r="AJ3701" s="93"/>
    </row>
    <row r="3702" spans="30:36" ht="18">
      <c r="AD3702" s="93"/>
      <c r="AE3702" s="214"/>
      <c r="AF3702" s="93"/>
      <c r="AG3702" s="93"/>
      <c r="AH3702" s="93"/>
      <c r="AI3702" s="93"/>
      <c r="AJ3702" s="93"/>
    </row>
    <row r="3703" spans="30:36" ht="18">
      <c r="AD3703" s="93"/>
      <c r="AE3703" s="214"/>
      <c r="AF3703" s="93"/>
      <c r="AG3703" s="93"/>
      <c r="AH3703" s="93"/>
      <c r="AI3703" s="93"/>
      <c r="AJ3703" s="93"/>
    </row>
    <row r="3704" spans="30:36" ht="18">
      <c r="AD3704" s="93"/>
      <c r="AE3704" s="214"/>
      <c r="AF3704" s="93"/>
      <c r="AG3704" s="93"/>
      <c r="AH3704" s="93"/>
      <c r="AI3704" s="93"/>
      <c r="AJ3704" s="93"/>
    </row>
    <row r="3705" spans="30:36" ht="18">
      <c r="AD3705" s="93"/>
      <c r="AE3705" s="214"/>
      <c r="AF3705" s="93"/>
      <c r="AG3705" s="93"/>
      <c r="AH3705" s="93"/>
      <c r="AI3705" s="93"/>
      <c r="AJ3705" s="93"/>
    </row>
    <row r="3706" spans="30:36" ht="18">
      <c r="AD3706" s="93"/>
      <c r="AE3706" s="215"/>
      <c r="AF3706" s="93"/>
      <c r="AG3706" s="93"/>
      <c r="AH3706" s="93"/>
      <c r="AI3706" s="93"/>
      <c r="AJ3706" s="93"/>
    </row>
    <row r="3707" spans="30:36" ht="18">
      <c r="AD3707" s="93"/>
      <c r="AE3707" s="215"/>
      <c r="AF3707" s="93"/>
      <c r="AG3707" s="93"/>
      <c r="AH3707" s="93"/>
      <c r="AI3707" s="93"/>
      <c r="AJ3707" s="93"/>
    </row>
    <row r="3708" spans="30:36" ht="18">
      <c r="AD3708" s="93"/>
      <c r="AE3708" s="214"/>
      <c r="AF3708" s="93"/>
      <c r="AG3708" s="93"/>
      <c r="AH3708" s="93"/>
      <c r="AI3708" s="93"/>
      <c r="AJ3708" s="93"/>
    </row>
    <row r="3709" spans="30:36" ht="18">
      <c r="AD3709" s="93"/>
      <c r="AE3709" s="214"/>
      <c r="AF3709" s="93"/>
      <c r="AG3709" s="93"/>
      <c r="AH3709" s="93"/>
      <c r="AI3709" s="93"/>
      <c r="AJ3709" s="93"/>
    </row>
    <row r="3710" spans="30:36" ht="18">
      <c r="AD3710" s="93"/>
      <c r="AE3710" s="214"/>
      <c r="AF3710" s="93"/>
      <c r="AG3710" s="93"/>
      <c r="AH3710" s="93"/>
      <c r="AI3710" s="93"/>
      <c r="AJ3710" s="93"/>
    </row>
    <row r="3711" spans="30:36" ht="18">
      <c r="AD3711" s="93"/>
      <c r="AE3711" s="214"/>
      <c r="AF3711" s="93"/>
      <c r="AG3711" s="93"/>
      <c r="AH3711" s="93"/>
      <c r="AI3711" s="93"/>
      <c r="AJ3711" s="93"/>
    </row>
    <row r="3712" spans="30:36" ht="18">
      <c r="AD3712" s="93"/>
      <c r="AE3712" s="214"/>
      <c r="AF3712" s="93"/>
      <c r="AG3712" s="93"/>
      <c r="AH3712" s="93"/>
      <c r="AI3712" s="93"/>
      <c r="AJ3712" s="93"/>
    </row>
    <row r="3713" spans="30:36" ht="18">
      <c r="AD3713" s="93"/>
      <c r="AE3713" s="215"/>
      <c r="AF3713" s="93"/>
      <c r="AG3713" s="93"/>
      <c r="AH3713" s="93"/>
      <c r="AI3713" s="93"/>
      <c r="AJ3713" s="93"/>
    </row>
    <row r="3714" spans="30:36" ht="18">
      <c r="AD3714" s="93"/>
      <c r="AE3714" s="215"/>
      <c r="AF3714" s="93"/>
      <c r="AG3714" s="93"/>
      <c r="AH3714" s="93"/>
      <c r="AI3714" s="93"/>
      <c r="AJ3714" s="93"/>
    </row>
    <row r="3715" spans="30:36" ht="18">
      <c r="AD3715" s="93"/>
      <c r="AE3715" s="214"/>
      <c r="AF3715" s="93"/>
      <c r="AG3715" s="93"/>
      <c r="AH3715" s="93"/>
      <c r="AI3715" s="93"/>
      <c r="AJ3715" s="93"/>
    </row>
    <row r="3716" spans="30:36" ht="18">
      <c r="AD3716" s="93"/>
      <c r="AE3716" s="214"/>
      <c r="AF3716" s="93"/>
      <c r="AG3716" s="93"/>
      <c r="AH3716" s="93"/>
      <c r="AI3716" s="93"/>
      <c r="AJ3716" s="93"/>
    </row>
    <row r="3717" spans="30:36" ht="18">
      <c r="AD3717" s="93"/>
      <c r="AE3717" s="214"/>
      <c r="AF3717" s="93"/>
      <c r="AG3717" s="93"/>
      <c r="AH3717" s="93"/>
      <c r="AI3717" s="93"/>
      <c r="AJ3717" s="93"/>
    </row>
    <row r="3718" spans="30:36" ht="18">
      <c r="AD3718" s="93"/>
      <c r="AE3718" s="214"/>
      <c r="AF3718" s="93"/>
      <c r="AG3718" s="93"/>
      <c r="AH3718" s="93"/>
      <c r="AI3718" s="93"/>
      <c r="AJ3718" s="93"/>
    </row>
    <row r="3719" spans="30:36" ht="18">
      <c r="AD3719" s="93"/>
      <c r="AE3719" s="215"/>
      <c r="AF3719" s="93"/>
      <c r="AG3719" s="93"/>
      <c r="AH3719" s="93"/>
      <c r="AI3719" s="93"/>
      <c r="AJ3719" s="93"/>
    </row>
    <row r="3720" spans="30:36" ht="18">
      <c r="AD3720" s="93"/>
      <c r="AE3720" s="215"/>
      <c r="AF3720" s="93"/>
      <c r="AG3720" s="93"/>
      <c r="AH3720" s="93"/>
      <c r="AI3720" s="93"/>
      <c r="AJ3720" s="93"/>
    </row>
    <row r="3721" spans="30:36" ht="18">
      <c r="AD3721" s="93"/>
      <c r="AE3721" s="214"/>
      <c r="AF3721" s="93"/>
      <c r="AG3721" s="93"/>
      <c r="AH3721" s="93"/>
      <c r="AI3721" s="93"/>
      <c r="AJ3721" s="93"/>
    </row>
    <row r="3722" spans="30:36" ht="18">
      <c r="AD3722" s="93"/>
      <c r="AE3722" s="214"/>
      <c r="AF3722" s="93"/>
      <c r="AG3722" s="93"/>
      <c r="AH3722" s="93"/>
      <c r="AI3722" s="93"/>
      <c r="AJ3722" s="93"/>
    </row>
    <row r="3723" spans="30:36" ht="18">
      <c r="AD3723" s="93"/>
      <c r="AE3723" s="214"/>
      <c r="AF3723" s="93"/>
      <c r="AG3723" s="93"/>
      <c r="AH3723" s="93"/>
      <c r="AI3723" s="93"/>
      <c r="AJ3723" s="93"/>
    </row>
    <row r="3724" spans="30:36" ht="18">
      <c r="AD3724" s="93"/>
      <c r="AE3724" s="214"/>
      <c r="AF3724" s="93"/>
      <c r="AG3724" s="93"/>
      <c r="AH3724" s="93"/>
      <c r="AI3724" s="93"/>
      <c r="AJ3724" s="93"/>
    </row>
    <row r="3725" spans="30:36" ht="18">
      <c r="AD3725" s="93"/>
      <c r="AE3725" s="214"/>
      <c r="AF3725" s="93"/>
      <c r="AG3725" s="93"/>
      <c r="AH3725" s="93"/>
      <c r="AI3725" s="93"/>
      <c r="AJ3725" s="93"/>
    </row>
    <row r="3726" spans="30:36" ht="18">
      <c r="AD3726" s="93"/>
      <c r="AE3726" s="214"/>
      <c r="AF3726" s="93"/>
      <c r="AG3726" s="93"/>
      <c r="AH3726" s="93"/>
      <c r="AI3726" s="93"/>
      <c r="AJ3726" s="93"/>
    </row>
    <row r="3727" spans="30:36" ht="18">
      <c r="AD3727" s="93"/>
      <c r="AE3727" s="214"/>
      <c r="AF3727" s="93"/>
      <c r="AG3727" s="93"/>
      <c r="AH3727" s="93"/>
      <c r="AI3727" s="93"/>
      <c r="AJ3727" s="93"/>
    </row>
    <row r="3728" spans="30:36" ht="18">
      <c r="AD3728" s="93"/>
      <c r="AE3728" s="214"/>
      <c r="AF3728" s="93"/>
      <c r="AG3728" s="93"/>
      <c r="AH3728" s="93"/>
      <c r="AI3728" s="93"/>
      <c r="AJ3728" s="93"/>
    </row>
    <row r="3729" spans="30:36" ht="18">
      <c r="AD3729" s="93"/>
      <c r="AE3729" s="214"/>
      <c r="AF3729" s="93"/>
      <c r="AG3729" s="93"/>
      <c r="AH3729" s="93"/>
      <c r="AI3729" s="93"/>
      <c r="AJ3729" s="93"/>
    </row>
    <row r="3730" spans="30:36" ht="18">
      <c r="AD3730" s="93"/>
      <c r="AE3730" s="214"/>
      <c r="AF3730" s="93"/>
      <c r="AG3730" s="93"/>
      <c r="AH3730" s="93"/>
      <c r="AI3730" s="93"/>
      <c r="AJ3730" s="93"/>
    </row>
    <row r="3731" spans="30:36" ht="18">
      <c r="AD3731" s="93"/>
      <c r="AE3731" s="214"/>
      <c r="AF3731" s="93"/>
      <c r="AG3731" s="93"/>
      <c r="AH3731" s="93"/>
      <c r="AI3731" s="93"/>
      <c r="AJ3731" s="93"/>
    </row>
    <row r="3732" spans="30:36" ht="18">
      <c r="AD3732" s="93"/>
      <c r="AE3732" s="214"/>
      <c r="AF3732" s="93"/>
      <c r="AG3732" s="93"/>
      <c r="AH3732" s="93"/>
      <c r="AI3732" s="93"/>
      <c r="AJ3732" s="93"/>
    </row>
    <row r="3733" spans="30:36" ht="18">
      <c r="AD3733" s="93"/>
      <c r="AE3733" s="215"/>
      <c r="AF3733" s="93"/>
      <c r="AG3733" s="93"/>
      <c r="AH3733" s="93"/>
      <c r="AI3733" s="93"/>
      <c r="AJ3733" s="93"/>
    </row>
    <row r="3734" spans="30:36" ht="18">
      <c r="AD3734" s="93"/>
      <c r="AE3734" s="215"/>
      <c r="AF3734" s="93"/>
      <c r="AG3734" s="93"/>
      <c r="AH3734" s="93"/>
      <c r="AI3734" s="93"/>
      <c r="AJ3734" s="93"/>
    </row>
    <row r="3735" spans="30:36" ht="18">
      <c r="AD3735" s="93"/>
      <c r="AE3735" s="214"/>
      <c r="AF3735" s="93"/>
      <c r="AG3735" s="93"/>
      <c r="AH3735" s="93"/>
      <c r="AI3735" s="93"/>
      <c r="AJ3735" s="93"/>
    </row>
    <row r="3736" spans="30:36" ht="18">
      <c r="AD3736" s="93"/>
      <c r="AE3736" s="214"/>
      <c r="AF3736" s="93"/>
      <c r="AG3736" s="93"/>
      <c r="AH3736" s="93"/>
      <c r="AI3736" s="93"/>
      <c r="AJ3736" s="93"/>
    </row>
    <row r="3737" spans="30:36" ht="18">
      <c r="AD3737" s="93"/>
      <c r="AE3737" s="214"/>
      <c r="AF3737" s="93"/>
      <c r="AG3737" s="93"/>
      <c r="AH3737" s="93"/>
      <c r="AI3737" s="93"/>
      <c r="AJ3737" s="93"/>
    </row>
    <row r="3738" spans="30:36" ht="18">
      <c r="AD3738" s="93"/>
      <c r="AE3738" s="214"/>
      <c r="AF3738" s="93"/>
      <c r="AG3738" s="93"/>
      <c r="AH3738" s="93"/>
      <c r="AI3738" s="93"/>
      <c r="AJ3738" s="93"/>
    </row>
    <row r="3739" spans="30:36" ht="18">
      <c r="AD3739" s="93"/>
      <c r="AE3739" s="214"/>
      <c r="AF3739" s="93"/>
      <c r="AG3739" s="93"/>
      <c r="AH3739" s="93"/>
      <c r="AI3739" s="93"/>
      <c r="AJ3739" s="93"/>
    </row>
    <row r="3740" spans="30:36" ht="18">
      <c r="AD3740" s="93"/>
      <c r="AE3740" s="214"/>
      <c r="AF3740" s="93"/>
      <c r="AG3740" s="93"/>
      <c r="AH3740" s="93"/>
      <c r="AI3740" s="93"/>
      <c r="AJ3740" s="93"/>
    </row>
    <row r="3741" spans="30:36" ht="18">
      <c r="AD3741" s="93"/>
      <c r="AE3741" s="214"/>
      <c r="AF3741" s="93"/>
      <c r="AG3741" s="93"/>
      <c r="AH3741" s="93"/>
      <c r="AI3741" s="93"/>
      <c r="AJ3741" s="93"/>
    </row>
    <row r="3742" spans="30:36" ht="18">
      <c r="AD3742" s="93"/>
      <c r="AE3742" s="214"/>
      <c r="AF3742" s="93"/>
      <c r="AG3742" s="93"/>
      <c r="AH3742" s="93"/>
      <c r="AI3742" s="93"/>
      <c r="AJ3742" s="93"/>
    </row>
    <row r="3743" spans="30:36" ht="18">
      <c r="AD3743" s="93"/>
      <c r="AE3743" s="214"/>
      <c r="AF3743" s="93"/>
      <c r="AG3743" s="93"/>
      <c r="AH3743" s="93"/>
      <c r="AI3743" s="93"/>
      <c r="AJ3743" s="93"/>
    </row>
    <row r="3744" spans="30:36" ht="18">
      <c r="AD3744" s="93"/>
      <c r="AE3744" s="214"/>
      <c r="AF3744" s="93"/>
      <c r="AG3744" s="93"/>
      <c r="AH3744" s="93"/>
      <c r="AI3744" s="93"/>
      <c r="AJ3744" s="93"/>
    </row>
    <row r="3745" spans="30:36" ht="18">
      <c r="AD3745" s="93"/>
      <c r="AE3745" s="215"/>
      <c r="AF3745" s="93"/>
      <c r="AG3745" s="93"/>
      <c r="AH3745" s="93"/>
      <c r="AI3745" s="93"/>
      <c r="AJ3745" s="93"/>
    </row>
    <row r="3746" spans="30:36" ht="18">
      <c r="AD3746" s="93"/>
      <c r="AE3746" s="215"/>
      <c r="AF3746" s="93"/>
      <c r="AG3746" s="93"/>
      <c r="AH3746" s="93"/>
      <c r="AI3746" s="93"/>
      <c r="AJ3746" s="93"/>
    </row>
    <row r="3747" spans="30:36" ht="18">
      <c r="AD3747" s="93"/>
      <c r="AE3747" s="214"/>
      <c r="AF3747" s="93"/>
      <c r="AG3747" s="93"/>
      <c r="AH3747" s="93"/>
      <c r="AI3747" s="93"/>
      <c r="AJ3747" s="93"/>
    </row>
    <row r="3748" spans="30:36" ht="18">
      <c r="AD3748" s="93"/>
      <c r="AE3748" s="214"/>
      <c r="AF3748" s="93"/>
      <c r="AG3748" s="93"/>
      <c r="AH3748" s="93"/>
      <c r="AI3748" s="93"/>
      <c r="AJ3748" s="93"/>
    </row>
    <row r="3749" spans="30:36" ht="18">
      <c r="AD3749" s="93"/>
      <c r="AE3749" s="214"/>
      <c r="AF3749" s="93"/>
      <c r="AG3749" s="93"/>
      <c r="AH3749" s="93"/>
      <c r="AI3749" s="93"/>
      <c r="AJ3749" s="93"/>
    </row>
    <row r="3750" spans="30:36" ht="18">
      <c r="AD3750" s="93"/>
      <c r="AE3750" s="214"/>
      <c r="AF3750" s="93"/>
      <c r="AG3750" s="93"/>
      <c r="AH3750" s="93"/>
      <c r="AI3750" s="93"/>
      <c r="AJ3750" s="93"/>
    </row>
    <row r="3751" spans="30:36" ht="18">
      <c r="AD3751" s="93"/>
      <c r="AE3751" s="214"/>
      <c r="AF3751" s="93"/>
      <c r="AG3751" s="93"/>
      <c r="AH3751" s="93"/>
      <c r="AI3751" s="93"/>
      <c r="AJ3751" s="93"/>
    </row>
    <row r="3752" spans="30:36" ht="18">
      <c r="AD3752" s="93"/>
      <c r="AE3752" s="214"/>
      <c r="AF3752" s="93"/>
      <c r="AG3752" s="93"/>
      <c r="AH3752" s="93"/>
      <c r="AI3752" s="93"/>
      <c r="AJ3752" s="93"/>
    </row>
    <row r="3753" spans="30:36" ht="18">
      <c r="AD3753" s="93"/>
      <c r="AE3753" s="214"/>
      <c r="AF3753" s="93"/>
      <c r="AG3753" s="93"/>
      <c r="AH3753" s="93"/>
      <c r="AI3753" s="93"/>
      <c r="AJ3753" s="93"/>
    </row>
    <row r="3754" spans="30:36" ht="18">
      <c r="AD3754" s="93"/>
      <c r="AE3754" s="214"/>
      <c r="AF3754" s="93"/>
      <c r="AG3754" s="93"/>
      <c r="AH3754" s="93"/>
      <c r="AI3754" s="93"/>
      <c r="AJ3754" s="93"/>
    </row>
    <row r="3755" spans="30:36" ht="18">
      <c r="AD3755" s="93"/>
      <c r="AE3755" s="214"/>
      <c r="AF3755" s="93"/>
      <c r="AG3755" s="93"/>
      <c r="AH3755" s="93"/>
      <c r="AI3755" s="93"/>
      <c r="AJ3755" s="93"/>
    </row>
    <row r="3756" spans="30:36" ht="18">
      <c r="AD3756" s="93"/>
      <c r="AE3756" s="214"/>
      <c r="AF3756" s="93"/>
      <c r="AG3756" s="93"/>
      <c r="AH3756" s="93"/>
      <c r="AI3756" s="93"/>
      <c r="AJ3756" s="93"/>
    </row>
    <row r="3757" spans="30:36" ht="18">
      <c r="AD3757" s="93"/>
      <c r="AE3757" s="214"/>
      <c r="AF3757" s="93"/>
      <c r="AG3757" s="93"/>
      <c r="AH3757" s="93"/>
      <c r="AI3757" s="93"/>
      <c r="AJ3757" s="93"/>
    </row>
    <row r="3758" spans="30:36" ht="18">
      <c r="AD3758" s="93"/>
      <c r="AE3758" s="214"/>
      <c r="AF3758" s="93"/>
      <c r="AG3758" s="93"/>
      <c r="AH3758" s="93"/>
      <c r="AI3758" s="93"/>
      <c r="AJ3758" s="93"/>
    </row>
    <row r="3759" spans="30:36" ht="18">
      <c r="AD3759" s="93"/>
      <c r="AE3759" s="214"/>
      <c r="AF3759" s="93"/>
      <c r="AG3759" s="93"/>
      <c r="AH3759" s="93"/>
      <c r="AI3759" s="93"/>
      <c r="AJ3759" s="93"/>
    </row>
    <row r="3760" spans="30:36" ht="18">
      <c r="AD3760" s="93"/>
      <c r="AE3760" s="215"/>
      <c r="AF3760" s="93"/>
      <c r="AG3760" s="93"/>
      <c r="AH3760" s="93"/>
      <c r="AI3760" s="93"/>
      <c r="AJ3760" s="93"/>
    </row>
    <row r="3761" spans="30:36" ht="18">
      <c r="AD3761" s="93"/>
      <c r="AE3761" s="215"/>
      <c r="AF3761" s="93"/>
      <c r="AG3761" s="93"/>
      <c r="AH3761" s="93"/>
      <c r="AI3761" s="93"/>
      <c r="AJ3761" s="93"/>
    </row>
    <row r="3762" spans="30:36" ht="18">
      <c r="AD3762" s="93"/>
      <c r="AE3762" s="214"/>
      <c r="AF3762" s="93"/>
      <c r="AG3762" s="93"/>
      <c r="AH3762" s="93"/>
      <c r="AI3762" s="93"/>
      <c r="AJ3762" s="93"/>
    </row>
    <row r="3763" spans="30:36" ht="18">
      <c r="AD3763" s="93"/>
      <c r="AE3763" s="214"/>
      <c r="AF3763" s="93"/>
      <c r="AG3763" s="93"/>
      <c r="AH3763" s="93"/>
      <c r="AI3763" s="93"/>
      <c r="AJ3763" s="93"/>
    </row>
    <row r="3764" spans="30:36" ht="18">
      <c r="AD3764" s="93"/>
      <c r="AE3764" s="214"/>
      <c r="AF3764" s="93"/>
      <c r="AG3764" s="93"/>
      <c r="AH3764" s="93"/>
      <c r="AI3764" s="93"/>
      <c r="AJ3764" s="93"/>
    </row>
    <row r="3765" spans="30:36" ht="18">
      <c r="AD3765" s="93"/>
      <c r="AE3765" s="214"/>
      <c r="AF3765" s="93"/>
      <c r="AG3765" s="93"/>
      <c r="AH3765" s="93"/>
      <c r="AI3765" s="93"/>
      <c r="AJ3765" s="93"/>
    </row>
    <row r="3766" spans="30:36" ht="18">
      <c r="AD3766" s="93"/>
      <c r="AE3766" s="214"/>
      <c r="AF3766" s="93"/>
      <c r="AG3766" s="93"/>
      <c r="AH3766" s="93"/>
      <c r="AI3766" s="93"/>
      <c r="AJ3766" s="93"/>
    </row>
    <row r="3767" spans="30:36" ht="18">
      <c r="AD3767" s="93"/>
      <c r="AE3767" s="214"/>
      <c r="AF3767" s="93"/>
      <c r="AG3767" s="93"/>
      <c r="AH3767" s="93"/>
      <c r="AI3767" s="93"/>
      <c r="AJ3767" s="93"/>
    </row>
    <row r="3768" spans="30:36" ht="18">
      <c r="AD3768" s="93"/>
      <c r="AE3768" s="214"/>
      <c r="AF3768" s="93"/>
      <c r="AG3768" s="93"/>
      <c r="AH3768" s="93"/>
      <c r="AI3768" s="93"/>
      <c r="AJ3768" s="93"/>
    </row>
    <row r="3769" spans="30:36" ht="18">
      <c r="AD3769" s="93"/>
      <c r="AE3769" s="215"/>
      <c r="AF3769" s="93"/>
      <c r="AG3769" s="93"/>
      <c r="AH3769" s="93"/>
      <c r="AI3769" s="93"/>
      <c r="AJ3769" s="93"/>
    </row>
    <row r="3770" spans="30:36" ht="18">
      <c r="AD3770" s="93"/>
      <c r="AE3770" s="214"/>
      <c r="AF3770" s="93"/>
      <c r="AG3770" s="93"/>
      <c r="AH3770" s="93"/>
      <c r="AI3770" s="93"/>
      <c r="AJ3770" s="93"/>
    </row>
    <row r="3771" spans="30:36" ht="18">
      <c r="AD3771" s="93"/>
      <c r="AE3771" s="214"/>
      <c r="AF3771" s="93"/>
      <c r="AG3771" s="93"/>
      <c r="AH3771" s="93"/>
      <c r="AI3771" s="93"/>
      <c r="AJ3771" s="93"/>
    </row>
    <row r="3772" spans="30:36" ht="18">
      <c r="AD3772" s="93"/>
      <c r="AE3772" s="214"/>
      <c r="AF3772" s="93"/>
      <c r="AG3772" s="93"/>
      <c r="AH3772" s="93"/>
      <c r="AI3772" s="93"/>
      <c r="AJ3772" s="93"/>
    </row>
    <row r="3773" spans="30:36" ht="18">
      <c r="AD3773" s="93"/>
      <c r="AE3773" s="214"/>
      <c r="AF3773" s="93"/>
      <c r="AG3773" s="93"/>
      <c r="AH3773" s="93"/>
      <c r="AI3773" s="93"/>
      <c r="AJ3773" s="93"/>
    </row>
    <row r="3774" spans="30:36" ht="18">
      <c r="AD3774" s="93"/>
      <c r="AE3774" s="214"/>
      <c r="AF3774" s="93"/>
      <c r="AG3774" s="93"/>
      <c r="AH3774" s="93"/>
      <c r="AI3774" s="93"/>
      <c r="AJ3774" s="93"/>
    </row>
    <row r="3775" spans="30:36" ht="18">
      <c r="AD3775" s="93"/>
      <c r="AE3775" s="214"/>
      <c r="AF3775" s="93"/>
      <c r="AG3775" s="93"/>
      <c r="AH3775" s="93"/>
      <c r="AI3775" s="93"/>
      <c r="AJ3775" s="93"/>
    </row>
    <row r="3776" spans="30:36" ht="18">
      <c r="AD3776" s="93"/>
      <c r="AE3776" s="215"/>
      <c r="AF3776" s="93"/>
      <c r="AG3776" s="93"/>
      <c r="AH3776" s="93"/>
      <c r="AI3776" s="93"/>
      <c r="AJ3776" s="93"/>
    </row>
    <row r="3777" spans="30:36" ht="18">
      <c r="AD3777" s="93"/>
      <c r="AE3777" s="215"/>
      <c r="AF3777" s="93"/>
      <c r="AG3777" s="93"/>
      <c r="AH3777" s="93"/>
      <c r="AI3777" s="93"/>
      <c r="AJ3777" s="93"/>
    </row>
    <row r="3778" spans="30:36" ht="18">
      <c r="AD3778" s="93"/>
      <c r="AE3778" s="214"/>
      <c r="AF3778" s="93"/>
      <c r="AG3778" s="93"/>
      <c r="AH3778" s="93"/>
      <c r="AI3778" s="93"/>
      <c r="AJ3778" s="93"/>
    </row>
    <row r="3779" spans="30:36" ht="18">
      <c r="AD3779" s="93"/>
      <c r="AE3779" s="214"/>
      <c r="AF3779" s="93"/>
      <c r="AG3779" s="93"/>
      <c r="AH3779" s="93"/>
      <c r="AI3779" s="93"/>
      <c r="AJ3779" s="93"/>
    </row>
    <row r="3780" spans="30:36" ht="18">
      <c r="AD3780" s="93"/>
      <c r="AE3780" s="214"/>
      <c r="AF3780" s="93"/>
      <c r="AG3780" s="93"/>
      <c r="AH3780" s="93"/>
      <c r="AI3780" s="93"/>
      <c r="AJ3780" s="93"/>
    </row>
    <row r="3781" spans="30:36" ht="18">
      <c r="AD3781" s="93"/>
      <c r="AE3781" s="214"/>
      <c r="AF3781" s="93"/>
      <c r="AG3781" s="93"/>
      <c r="AH3781" s="93"/>
      <c r="AI3781" s="93"/>
      <c r="AJ3781" s="93"/>
    </row>
    <row r="3782" spans="30:36" ht="18">
      <c r="AD3782" s="93"/>
      <c r="AE3782" s="214"/>
      <c r="AF3782" s="93"/>
      <c r="AG3782" s="93"/>
      <c r="AH3782" s="93"/>
      <c r="AI3782" s="93"/>
      <c r="AJ3782" s="93"/>
    </row>
    <row r="3783" spans="30:36" ht="18">
      <c r="AD3783" s="93"/>
      <c r="AE3783" s="214"/>
      <c r="AF3783" s="93"/>
      <c r="AG3783" s="93"/>
      <c r="AH3783" s="93"/>
      <c r="AI3783" s="93"/>
      <c r="AJ3783" s="93"/>
    </row>
    <row r="3784" spans="30:36" ht="18">
      <c r="AD3784" s="93"/>
      <c r="AE3784" s="215"/>
      <c r="AF3784" s="93"/>
      <c r="AG3784" s="93"/>
      <c r="AH3784" s="93"/>
      <c r="AI3784" s="93"/>
      <c r="AJ3784" s="93"/>
    </row>
    <row r="3785" spans="30:36" ht="18">
      <c r="AD3785" s="93"/>
      <c r="AE3785" s="215"/>
      <c r="AF3785" s="93"/>
      <c r="AG3785" s="93"/>
      <c r="AH3785" s="93"/>
      <c r="AI3785" s="93"/>
      <c r="AJ3785" s="93"/>
    </row>
    <row r="3786" spans="30:36" ht="18">
      <c r="AD3786" s="93"/>
      <c r="AE3786" s="214"/>
      <c r="AF3786" s="93"/>
      <c r="AG3786" s="93"/>
      <c r="AH3786" s="93"/>
      <c r="AI3786" s="93"/>
      <c r="AJ3786" s="93"/>
    </row>
    <row r="3787" spans="30:36" ht="18">
      <c r="AD3787" s="93"/>
      <c r="AE3787" s="214"/>
      <c r="AF3787" s="93"/>
      <c r="AG3787" s="93"/>
      <c r="AH3787" s="93"/>
      <c r="AI3787" s="93"/>
      <c r="AJ3787" s="93"/>
    </row>
    <row r="3788" spans="30:36" ht="18">
      <c r="AD3788" s="93"/>
      <c r="AE3788" s="215"/>
      <c r="AF3788" s="93"/>
      <c r="AG3788" s="93"/>
      <c r="AH3788" s="93"/>
      <c r="AI3788" s="93"/>
      <c r="AJ3788" s="93"/>
    </row>
    <row r="3789" spans="30:36" ht="18">
      <c r="AD3789" s="93"/>
      <c r="AE3789" s="214"/>
      <c r="AF3789" s="93"/>
      <c r="AG3789" s="93"/>
      <c r="AH3789" s="93"/>
      <c r="AI3789" s="93"/>
      <c r="AJ3789" s="93"/>
    </row>
    <row r="3790" spans="30:36" ht="18">
      <c r="AD3790" s="93"/>
      <c r="AE3790" s="214"/>
      <c r="AF3790" s="93"/>
      <c r="AG3790" s="93"/>
      <c r="AH3790" s="93"/>
      <c r="AI3790" s="93"/>
      <c r="AJ3790" s="93"/>
    </row>
    <row r="3791" spans="30:36" ht="18">
      <c r="AD3791" s="93"/>
      <c r="AE3791" s="214"/>
      <c r="AF3791" s="93"/>
      <c r="AG3791" s="93"/>
      <c r="AH3791" s="93"/>
      <c r="AI3791" s="93"/>
      <c r="AJ3791" s="93"/>
    </row>
    <row r="3792" spans="30:36" ht="18">
      <c r="AD3792" s="93"/>
      <c r="AE3792" s="214"/>
      <c r="AF3792" s="93"/>
      <c r="AG3792" s="93"/>
      <c r="AH3792" s="93"/>
      <c r="AI3792" s="93"/>
      <c r="AJ3792" s="93"/>
    </row>
    <row r="3793" spans="30:36" ht="18">
      <c r="AD3793" s="93"/>
      <c r="AE3793" s="214"/>
      <c r="AF3793" s="93"/>
      <c r="AG3793" s="93"/>
      <c r="AH3793" s="93"/>
      <c r="AI3793" s="93"/>
      <c r="AJ3793" s="93"/>
    </row>
    <row r="3794" spans="30:36" ht="18">
      <c r="AD3794" s="93"/>
      <c r="AE3794" s="214"/>
      <c r="AF3794" s="93"/>
      <c r="AG3794" s="93"/>
      <c r="AH3794" s="93"/>
      <c r="AI3794" s="93"/>
      <c r="AJ3794" s="93"/>
    </row>
    <row r="3795" spans="30:36" ht="18">
      <c r="AD3795" s="93"/>
      <c r="AE3795" s="215"/>
      <c r="AF3795" s="93"/>
      <c r="AG3795" s="93"/>
      <c r="AH3795" s="93"/>
      <c r="AI3795" s="93"/>
      <c r="AJ3795" s="93"/>
    </row>
    <row r="3796" spans="30:36" ht="18">
      <c r="AD3796" s="93"/>
      <c r="AE3796" s="214"/>
      <c r="AF3796" s="93"/>
      <c r="AG3796" s="93"/>
      <c r="AH3796" s="93"/>
      <c r="AI3796" s="93"/>
      <c r="AJ3796" s="93"/>
    </row>
    <row r="3797" spans="30:36" ht="18">
      <c r="AD3797" s="93"/>
      <c r="AE3797" s="214"/>
      <c r="AF3797" s="93"/>
      <c r="AG3797" s="93"/>
      <c r="AH3797" s="93"/>
      <c r="AI3797" s="93"/>
      <c r="AJ3797" s="93"/>
    </row>
    <row r="3798" spans="30:36" ht="18">
      <c r="AD3798" s="93"/>
      <c r="AE3798" s="215"/>
      <c r="AF3798" s="93"/>
      <c r="AG3798" s="93"/>
      <c r="AH3798" s="93"/>
      <c r="AI3798" s="93"/>
      <c r="AJ3798" s="93"/>
    </row>
    <row r="3799" spans="30:36" ht="18">
      <c r="AD3799" s="93"/>
      <c r="AE3799" s="215"/>
      <c r="AF3799" s="93"/>
      <c r="AG3799" s="93"/>
      <c r="AH3799" s="93"/>
      <c r="AI3799" s="93"/>
      <c r="AJ3799" s="93"/>
    </row>
    <row r="3800" spans="30:36" ht="18">
      <c r="AD3800" s="93"/>
      <c r="AE3800" s="214"/>
      <c r="AF3800" s="93"/>
      <c r="AG3800" s="93"/>
      <c r="AH3800" s="93"/>
      <c r="AI3800" s="93"/>
      <c r="AJ3800" s="93"/>
    </row>
    <row r="3801" spans="30:36" ht="18">
      <c r="AD3801" s="93"/>
      <c r="AE3801" s="214"/>
      <c r="AF3801" s="93"/>
      <c r="AG3801" s="93"/>
      <c r="AH3801" s="93"/>
      <c r="AI3801" s="93"/>
      <c r="AJ3801" s="93"/>
    </row>
    <row r="3802" spans="30:36" ht="18">
      <c r="AD3802" s="93"/>
      <c r="AE3802" s="214"/>
      <c r="AF3802" s="93"/>
      <c r="AG3802" s="93"/>
      <c r="AH3802" s="93"/>
      <c r="AI3802" s="93"/>
      <c r="AJ3802" s="93"/>
    </row>
    <row r="3803" spans="30:36" ht="18">
      <c r="AD3803" s="93"/>
      <c r="AE3803" s="215"/>
      <c r="AF3803" s="93"/>
      <c r="AG3803" s="93"/>
      <c r="AH3803" s="93"/>
      <c r="AI3803" s="93"/>
      <c r="AJ3803" s="93"/>
    </row>
    <row r="3804" spans="30:36" ht="18">
      <c r="AD3804" s="93"/>
      <c r="AE3804" s="215"/>
      <c r="AF3804" s="93"/>
      <c r="AG3804" s="93"/>
      <c r="AH3804" s="93"/>
      <c r="AI3804" s="93"/>
      <c r="AJ3804" s="93"/>
    </row>
    <row r="3805" spans="30:36" ht="18">
      <c r="AD3805" s="93"/>
      <c r="AE3805" s="214"/>
      <c r="AF3805" s="93"/>
      <c r="AG3805" s="93"/>
      <c r="AH3805" s="93"/>
      <c r="AI3805" s="93"/>
      <c r="AJ3805" s="93"/>
    </row>
    <row r="3806" spans="30:36" ht="18">
      <c r="AD3806" s="93"/>
      <c r="AE3806" s="214"/>
      <c r="AF3806" s="93"/>
      <c r="AG3806" s="93"/>
      <c r="AH3806" s="93"/>
      <c r="AI3806" s="93"/>
      <c r="AJ3806" s="93"/>
    </row>
    <row r="3807" spans="30:36" ht="18">
      <c r="AD3807" s="93"/>
      <c r="AE3807" s="214"/>
      <c r="AF3807" s="93"/>
      <c r="AG3807" s="93"/>
      <c r="AH3807" s="93"/>
      <c r="AI3807" s="93"/>
      <c r="AJ3807" s="93"/>
    </row>
    <row r="3808" spans="30:36" ht="18">
      <c r="AD3808" s="93"/>
      <c r="AE3808" s="214"/>
      <c r="AF3808" s="93"/>
      <c r="AG3808" s="93"/>
      <c r="AH3808" s="93"/>
      <c r="AI3808" s="93"/>
      <c r="AJ3808" s="93"/>
    </row>
    <row r="3809" spans="30:36" ht="18">
      <c r="AD3809" s="93"/>
      <c r="AE3809" s="215"/>
      <c r="AF3809" s="93"/>
      <c r="AG3809" s="93"/>
      <c r="AH3809" s="93"/>
      <c r="AI3809" s="93"/>
      <c r="AJ3809" s="93"/>
    </row>
    <row r="3810" spans="30:36" ht="18">
      <c r="AD3810" s="93"/>
      <c r="AE3810" s="215"/>
      <c r="AF3810" s="93"/>
      <c r="AG3810" s="93"/>
      <c r="AH3810" s="93"/>
      <c r="AI3810" s="93"/>
      <c r="AJ3810" s="93"/>
    </row>
    <row r="3811" spans="30:36" ht="18">
      <c r="AD3811" s="93"/>
      <c r="AE3811" s="214"/>
      <c r="AF3811" s="93"/>
      <c r="AG3811" s="93"/>
      <c r="AH3811" s="93"/>
      <c r="AI3811" s="93"/>
      <c r="AJ3811" s="93"/>
    </row>
    <row r="3812" spans="30:36" ht="18">
      <c r="AD3812" s="93"/>
      <c r="AE3812" s="214"/>
      <c r="AF3812" s="93"/>
      <c r="AG3812" s="93"/>
      <c r="AH3812" s="93"/>
      <c r="AI3812" s="93"/>
      <c r="AJ3812" s="93"/>
    </row>
    <row r="3813" spans="30:36" ht="18">
      <c r="AD3813" s="93"/>
      <c r="AE3813" s="214"/>
      <c r="AF3813" s="93"/>
      <c r="AG3813" s="93"/>
      <c r="AH3813" s="93"/>
      <c r="AI3813" s="93"/>
      <c r="AJ3813" s="93"/>
    </row>
    <row r="3814" spans="30:36" ht="18">
      <c r="AD3814" s="93"/>
      <c r="AE3814" s="214"/>
      <c r="AF3814" s="93"/>
      <c r="AG3814" s="93"/>
      <c r="AH3814" s="93"/>
      <c r="AI3814" s="93"/>
      <c r="AJ3814" s="93"/>
    </row>
    <row r="3815" spans="30:36" ht="18">
      <c r="AD3815" s="93"/>
      <c r="AE3815" s="215"/>
      <c r="AF3815" s="93"/>
      <c r="AG3815" s="93"/>
      <c r="AH3815" s="93"/>
      <c r="AI3815" s="93"/>
      <c r="AJ3815" s="93"/>
    </row>
    <row r="3816" spans="30:36" ht="18">
      <c r="AD3816" s="93"/>
      <c r="AE3816" s="215"/>
      <c r="AF3816" s="93"/>
      <c r="AG3816" s="93"/>
      <c r="AH3816" s="93"/>
      <c r="AI3816" s="93"/>
      <c r="AJ3816" s="93"/>
    </row>
    <row r="3817" spans="30:36" ht="18">
      <c r="AD3817" s="93"/>
      <c r="AE3817" s="214"/>
      <c r="AF3817" s="93"/>
      <c r="AG3817" s="93"/>
      <c r="AH3817" s="93"/>
      <c r="AI3817" s="93"/>
      <c r="AJ3817" s="93"/>
    </row>
    <row r="3818" spans="30:36" ht="18">
      <c r="AD3818" s="93"/>
      <c r="AE3818" s="214"/>
      <c r="AF3818" s="93"/>
      <c r="AG3818" s="93"/>
      <c r="AH3818" s="93"/>
      <c r="AI3818" s="93"/>
      <c r="AJ3818" s="93"/>
    </row>
    <row r="3819" spans="30:36" ht="18">
      <c r="AD3819" s="93"/>
      <c r="AE3819" s="214"/>
      <c r="AF3819" s="93"/>
      <c r="AG3819" s="93"/>
      <c r="AH3819" s="93"/>
      <c r="AI3819" s="93"/>
      <c r="AJ3819" s="93"/>
    </row>
    <row r="3820" spans="30:36" ht="18">
      <c r="AD3820" s="93"/>
      <c r="AE3820" s="215"/>
      <c r="AF3820" s="93"/>
      <c r="AG3820" s="93"/>
      <c r="AH3820" s="93"/>
      <c r="AI3820" s="93"/>
      <c r="AJ3820" s="93"/>
    </row>
    <row r="3821" spans="30:36" ht="18">
      <c r="AD3821" s="93"/>
      <c r="AE3821" s="214"/>
      <c r="AF3821" s="93"/>
      <c r="AG3821" s="93"/>
      <c r="AH3821" s="93"/>
      <c r="AI3821" s="93"/>
      <c r="AJ3821" s="93"/>
    </row>
    <row r="3822" spans="30:36" ht="18">
      <c r="AD3822" s="93"/>
      <c r="AE3822" s="214"/>
      <c r="AF3822" s="93"/>
      <c r="AG3822" s="93"/>
      <c r="AH3822" s="93"/>
      <c r="AI3822" s="93"/>
      <c r="AJ3822" s="93"/>
    </row>
    <row r="3823" spans="30:36" ht="18">
      <c r="AD3823" s="93"/>
      <c r="AE3823" s="214"/>
      <c r="AF3823" s="93"/>
      <c r="AG3823" s="93"/>
      <c r="AH3823" s="93"/>
      <c r="AI3823" s="93"/>
      <c r="AJ3823" s="93"/>
    </row>
    <row r="3824" spans="30:36" ht="18">
      <c r="AD3824" s="93"/>
      <c r="AE3824" s="214"/>
      <c r="AF3824" s="93"/>
      <c r="AG3824" s="93"/>
      <c r="AH3824" s="93"/>
      <c r="AI3824" s="93"/>
      <c r="AJ3824" s="93"/>
    </row>
    <row r="3825" spans="30:36" ht="18">
      <c r="AD3825" s="93"/>
      <c r="AE3825" s="214"/>
      <c r="AF3825" s="93"/>
      <c r="AG3825" s="93"/>
      <c r="AH3825" s="93"/>
      <c r="AI3825" s="93"/>
      <c r="AJ3825" s="93"/>
    </row>
    <row r="3826" spans="30:36" ht="18">
      <c r="AD3826" s="93"/>
      <c r="AE3826" s="214"/>
      <c r="AF3826" s="93"/>
      <c r="AG3826" s="93"/>
      <c r="AH3826" s="93"/>
      <c r="AI3826" s="93"/>
      <c r="AJ3826" s="93"/>
    </row>
    <row r="3827" spans="30:36" ht="18">
      <c r="AD3827" s="93"/>
      <c r="AE3827" s="214"/>
      <c r="AF3827" s="93"/>
      <c r="AG3827" s="93"/>
      <c r="AH3827" s="93"/>
      <c r="AI3827" s="93"/>
      <c r="AJ3827" s="93"/>
    </row>
    <row r="3828" spans="30:36" ht="18">
      <c r="AD3828" s="93"/>
      <c r="AE3828" s="214"/>
      <c r="AF3828" s="93"/>
      <c r="AG3828" s="93"/>
      <c r="AH3828" s="93"/>
      <c r="AI3828" s="93"/>
      <c r="AJ3828" s="93"/>
    </row>
    <row r="3829" spans="30:36" ht="18">
      <c r="AD3829" s="93"/>
      <c r="AE3829" s="214"/>
      <c r="AF3829" s="93"/>
      <c r="AG3829" s="93"/>
      <c r="AH3829" s="93"/>
      <c r="AI3829" s="93"/>
      <c r="AJ3829" s="93"/>
    </row>
    <row r="3830" spans="30:36" ht="18">
      <c r="AD3830" s="93"/>
      <c r="AE3830" s="215"/>
      <c r="AF3830" s="93"/>
      <c r="AG3830" s="93"/>
      <c r="AH3830" s="93"/>
      <c r="AI3830" s="93"/>
      <c r="AJ3830" s="93"/>
    </row>
    <row r="3831" spans="30:36" ht="18">
      <c r="AD3831" s="93"/>
      <c r="AE3831" s="214"/>
      <c r="AF3831" s="93"/>
      <c r="AG3831" s="93"/>
      <c r="AH3831" s="93"/>
      <c r="AI3831" s="93"/>
      <c r="AJ3831" s="93"/>
    </row>
    <row r="3832" spans="30:36" ht="18">
      <c r="AD3832" s="93"/>
      <c r="AE3832" s="214"/>
      <c r="AF3832" s="93"/>
      <c r="AG3832" s="93"/>
      <c r="AH3832" s="93"/>
      <c r="AI3832" s="93"/>
      <c r="AJ3832" s="93"/>
    </row>
    <row r="3833" spans="30:36" ht="18">
      <c r="AD3833" s="93"/>
      <c r="AE3833" s="214"/>
      <c r="AF3833" s="93"/>
      <c r="AG3833" s="93"/>
      <c r="AH3833" s="93"/>
      <c r="AI3833" s="93"/>
      <c r="AJ3833" s="93"/>
    </row>
    <row r="3834" spans="30:36" ht="18">
      <c r="AD3834" s="93"/>
      <c r="AE3834" s="214"/>
      <c r="AF3834" s="93"/>
      <c r="AG3834" s="93"/>
      <c r="AH3834" s="93"/>
      <c r="AI3834" s="93"/>
      <c r="AJ3834" s="93"/>
    </row>
    <row r="3835" spans="30:36" ht="18">
      <c r="AD3835" s="93"/>
      <c r="AE3835" s="214"/>
      <c r="AF3835" s="93"/>
      <c r="AG3835" s="93"/>
      <c r="AH3835" s="93"/>
      <c r="AI3835" s="93"/>
      <c r="AJ3835" s="93"/>
    </row>
    <row r="3836" spans="30:36" ht="18">
      <c r="AD3836" s="93"/>
      <c r="AE3836" s="214"/>
      <c r="AF3836" s="93"/>
      <c r="AG3836" s="93"/>
      <c r="AH3836" s="93"/>
      <c r="AI3836" s="93"/>
      <c r="AJ3836" s="93"/>
    </row>
    <row r="3837" spans="30:36" ht="18">
      <c r="AD3837" s="93"/>
      <c r="AE3837" s="214"/>
      <c r="AF3837" s="93"/>
      <c r="AG3837" s="93"/>
      <c r="AH3837" s="93"/>
      <c r="AI3837" s="93"/>
      <c r="AJ3837" s="93"/>
    </row>
    <row r="3838" spans="30:36" ht="18">
      <c r="AD3838" s="93"/>
      <c r="AE3838" s="214"/>
      <c r="AF3838" s="93"/>
      <c r="AG3838" s="93"/>
      <c r="AH3838" s="93"/>
      <c r="AI3838" s="93"/>
      <c r="AJ3838" s="93"/>
    </row>
    <row r="3839" spans="30:36" ht="18">
      <c r="AD3839" s="93"/>
      <c r="AE3839" s="215"/>
      <c r="AF3839" s="93"/>
      <c r="AG3839" s="93"/>
      <c r="AH3839" s="93"/>
      <c r="AI3839" s="93"/>
      <c r="AJ3839" s="93"/>
    </row>
    <row r="3840" spans="30:36" ht="18">
      <c r="AD3840" s="93"/>
      <c r="AE3840" s="215"/>
      <c r="AF3840" s="93"/>
      <c r="AG3840" s="93"/>
      <c r="AH3840" s="93"/>
      <c r="AI3840" s="93"/>
      <c r="AJ3840" s="93"/>
    </row>
    <row r="3841" spans="30:36" ht="18">
      <c r="AD3841" s="93"/>
      <c r="AE3841" s="215"/>
      <c r="AF3841" s="93"/>
      <c r="AG3841" s="93"/>
      <c r="AH3841" s="93"/>
      <c r="AI3841" s="93"/>
      <c r="AJ3841" s="93"/>
    </row>
    <row r="3842" spans="30:36" ht="18">
      <c r="AD3842" s="93"/>
      <c r="AE3842" s="214"/>
      <c r="AF3842" s="93"/>
      <c r="AG3842" s="93"/>
      <c r="AH3842" s="93"/>
      <c r="AI3842" s="93"/>
      <c r="AJ3842" s="93"/>
    </row>
    <row r="3843" spans="30:36" ht="18">
      <c r="AD3843" s="93"/>
      <c r="AE3843" s="214"/>
      <c r="AF3843" s="93"/>
      <c r="AG3843" s="93"/>
      <c r="AH3843" s="93"/>
      <c r="AI3843" s="93"/>
      <c r="AJ3843" s="93"/>
    </row>
    <row r="3844" spans="30:36" ht="18">
      <c r="AD3844" s="93"/>
      <c r="AE3844" s="214"/>
      <c r="AF3844" s="93"/>
      <c r="AG3844" s="93"/>
      <c r="AH3844" s="93"/>
      <c r="AI3844" s="93"/>
      <c r="AJ3844" s="93"/>
    </row>
    <row r="3845" spans="30:36" ht="18">
      <c r="AD3845" s="93"/>
      <c r="AE3845" s="214"/>
      <c r="AF3845" s="93"/>
      <c r="AG3845" s="93"/>
      <c r="AH3845" s="93"/>
      <c r="AI3845" s="93"/>
      <c r="AJ3845" s="93"/>
    </row>
    <row r="3846" spans="30:36" ht="18">
      <c r="AD3846" s="93"/>
      <c r="AE3846" s="215"/>
      <c r="AF3846" s="93"/>
      <c r="AG3846" s="93"/>
      <c r="AH3846" s="93"/>
      <c r="AI3846" s="93"/>
      <c r="AJ3846" s="93"/>
    </row>
    <row r="3847" spans="30:36" ht="18">
      <c r="AD3847" s="93"/>
      <c r="AE3847" s="215"/>
      <c r="AF3847" s="93"/>
      <c r="AG3847" s="93"/>
      <c r="AH3847" s="93"/>
      <c r="AI3847" s="93"/>
      <c r="AJ3847" s="93"/>
    </row>
    <row r="3848" spans="30:36" ht="18">
      <c r="AD3848" s="93"/>
      <c r="AE3848" s="214"/>
      <c r="AF3848" s="93"/>
      <c r="AG3848" s="93"/>
      <c r="AH3848" s="93"/>
      <c r="AI3848" s="93"/>
      <c r="AJ3848" s="93"/>
    </row>
    <row r="3849" spans="30:36" ht="18">
      <c r="AD3849" s="93"/>
      <c r="AE3849" s="214"/>
      <c r="AF3849" s="93"/>
      <c r="AG3849" s="93"/>
      <c r="AH3849" s="93"/>
      <c r="AI3849" s="93"/>
      <c r="AJ3849" s="93"/>
    </row>
    <row r="3850" spans="30:36" ht="18">
      <c r="AD3850" s="93"/>
      <c r="AE3850" s="214"/>
      <c r="AF3850" s="93"/>
      <c r="AG3850" s="93"/>
      <c r="AH3850" s="93"/>
      <c r="AI3850" s="93"/>
      <c r="AJ3850" s="93"/>
    </row>
    <row r="3851" spans="30:36" ht="18">
      <c r="AD3851" s="93"/>
      <c r="AE3851" s="214"/>
      <c r="AF3851" s="93"/>
      <c r="AG3851" s="93"/>
      <c r="AH3851" s="93"/>
      <c r="AI3851" s="93"/>
      <c r="AJ3851" s="93"/>
    </row>
    <row r="3852" spans="30:36" ht="18">
      <c r="AD3852" s="93"/>
      <c r="AE3852" s="214"/>
      <c r="AF3852" s="93"/>
      <c r="AG3852" s="93"/>
      <c r="AH3852" s="93"/>
      <c r="AI3852" s="93"/>
      <c r="AJ3852" s="93"/>
    </row>
    <row r="3853" spans="30:36" ht="18">
      <c r="AD3853" s="93"/>
      <c r="AE3853" s="214"/>
      <c r="AF3853" s="93"/>
      <c r="AG3853" s="93"/>
      <c r="AH3853" s="93"/>
      <c r="AI3853" s="93"/>
      <c r="AJ3853" s="93"/>
    </row>
    <row r="3854" spans="30:36" ht="18">
      <c r="AD3854" s="93"/>
      <c r="AE3854" s="214"/>
      <c r="AF3854" s="93"/>
      <c r="AG3854" s="93"/>
      <c r="AH3854" s="93"/>
      <c r="AI3854" s="93"/>
      <c r="AJ3854" s="93"/>
    </row>
    <row r="3855" spans="30:36" ht="18">
      <c r="AD3855" s="93"/>
      <c r="AE3855" s="214"/>
      <c r="AF3855" s="93"/>
      <c r="AG3855" s="93"/>
      <c r="AH3855" s="93"/>
      <c r="AI3855" s="93"/>
      <c r="AJ3855" s="93"/>
    </row>
    <row r="3856" spans="30:36" ht="18">
      <c r="AD3856" s="93"/>
      <c r="AE3856" s="214"/>
      <c r="AF3856" s="93"/>
      <c r="AG3856" s="93"/>
      <c r="AH3856" s="93"/>
      <c r="AI3856" s="93"/>
      <c r="AJ3856" s="93"/>
    </row>
    <row r="3857" spans="30:36" ht="18">
      <c r="AD3857" s="93"/>
      <c r="AE3857" s="214"/>
      <c r="AF3857" s="93"/>
      <c r="AG3857" s="93"/>
      <c r="AH3857" s="93"/>
      <c r="AI3857" s="93"/>
      <c r="AJ3857" s="93"/>
    </row>
    <row r="3858" spans="30:36" ht="18">
      <c r="AD3858" s="93"/>
      <c r="AE3858" s="214"/>
      <c r="AF3858" s="93"/>
      <c r="AG3858" s="93"/>
      <c r="AH3858" s="93"/>
      <c r="AI3858" s="93"/>
      <c r="AJ3858" s="93"/>
    </row>
    <row r="3859" spans="30:36" ht="18">
      <c r="AD3859" s="93"/>
      <c r="AE3859" s="214"/>
      <c r="AF3859" s="93"/>
      <c r="AG3859" s="93"/>
      <c r="AH3859" s="93"/>
      <c r="AI3859" s="93"/>
      <c r="AJ3859" s="93"/>
    </row>
    <row r="3860" spans="30:36" ht="18">
      <c r="AD3860" s="93"/>
      <c r="AE3860" s="214"/>
      <c r="AF3860" s="93"/>
      <c r="AG3860" s="93"/>
      <c r="AH3860" s="93"/>
      <c r="AI3860" s="93"/>
      <c r="AJ3860" s="93"/>
    </row>
    <row r="3861" spans="30:36" ht="18">
      <c r="AD3861" s="93"/>
      <c r="AE3861" s="214"/>
      <c r="AF3861" s="93"/>
      <c r="AG3861" s="93"/>
      <c r="AH3861" s="93"/>
      <c r="AI3861" s="93"/>
      <c r="AJ3861" s="93"/>
    </row>
    <row r="3862" spans="30:36" ht="18">
      <c r="AD3862" s="93"/>
      <c r="AE3862" s="214"/>
      <c r="AF3862" s="93"/>
      <c r="AG3862" s="93"/>
      <c r="AH3862" s="93"/>
      <c r="AI3862" s="93"/>
      <c r="AJ3862" s="93"/>
    </row>
    <row r="3863" spans="30:36" ht="18">
      <c r="AD3863" s="93"/>
      <c r="AE3863" s="214"/>
      <c r="AF3863" s="93"/>
      <c r="AG3863" s="93"/>
      <c r="AH3863" s="93"/>
      <c r="AI3863" s="93"/>
      <c r="AJ3863" s="93"/>
    </row>
    <row r="3864" spans="30:36" ht="18">
      <c r="AD3864" s="93"/>
      <c r="AE3864" s="214"/>
      <c r="AF3864" s="93"/>
      <c r="AG3864" s="93"/>
      <c r="AH3864" s="93"/>
      <c r="AI3864" s="93"/>
      <c r="AJ3864" s="93"/>
    </row>
    <row r="3865" spans="30:36" ht="18">
      <c r="AD3865" s="93"/>
      <c r="AE3865" s="214"/>
      <c r="AF3865" s="93"/>
      <c r="AG3865" s="93"/>
      <c r="AH3865" s="93"/>
      <c r="AI3865" s="93"/>
      <c r="AJ3865" s="93"/>
    </row>
    <row r="3866" spans="30:36" ht="18">
      <c r="AD3866" s="93"/>
      <c r="AE3866" s="214"/>
      <c r="AF3866" s="93"/>
      <c r="AG3866" s="93"/>
      <c r="AH3866" s="93"/>
      <c r="AI3866" s="93"/>
      <c r="AJ3866" s="93"/>
    </row>
    <row r="3867" spans="30:36" ht="18">
      <c r="AD3867" s="93"/>
      <c r="AE3867" s="214"/>
      <c r="AF3867" s="93"/>
      <c r="AG3867" s="93"/>
      <c r="AH3867" s="93"/>
      <c r="AI3867" s="93"/>
      <c r="AJ3867" s="93"/>
    </row>
    <row r="3868" spans="30:36" ht="18">
      <c r="AD3868" s="93"/>
      <c r="AE3868" s="214"/>
      <c r="AF3868" s="93"/>
      <c r="AG3868" s="93"/>
      <c r="AH3868" s="93"/>
      <c r="AI3868" s="93"/>
      <c r="AJ3868" s="93"/>
    </row>
    <row r="3869" spans="30:36" ht="18">
      <c r="AD3869" s="93"/>
      <c r="AE3869" s="215"/>
      <c r="AF3869" s="93"/>
      <c r="AG3869" s="93"/>
      <c r="AH3869" s="93"/>
      <c r="AI3869" s="93"/>
      <c r="AJ3869" s="93"/>
    </row>
    <row r="3870" spans="30:36" ht="18">
      <c r="AD3870" s="93"/>
      <c r="AE3870" s="215"/>
      <c r="AF3870" s="93"/>
      <c r="AG3870" s="93"/>
      <c r="AH3870" s="93"/>
      <c r="AI3870" s="93"/>
      <c r="AJ3870" s="93"/>
    </row>
    <row r="3871" spans="30:36" ht="18">
      <c r="AD3871" s="93"/>
      <c r="AE3871" s="214"/>
      <c r="AF3871" s="93"/>
      <c r="AG3871" s="93"/>
      <c r="AH3871" s="93"/>
      <c r="AI3871" s="93"/>
      <c r="AJ3871" s="93"/>
    </row>
    <row r="3872" spans="30:36" ht="18">
      <c r="AD3872" s="93"/>
      <c r="AE3872" s="214"/>
      <c r="AF3872" s="93"/>
      <c r="AG3872" s="93"/>
      <c r="AH3872" s="93"/>
      <c r="AI3872" s="93"/>
      <c r="AJ3872" s="93"/>
    </row>
    <row r="3873" spans="30:36" ht="18">
      <c r="AD3873" s="93"/>
      <c r="AE3873" s="214"/>
      <c r="AF3873" s="93"/>
      <c r="AG3873" s="93"/>
      <c r="AH3873" s="93"/>
      <c r="AI3873" s="93"/>
      <c r="AJ3873" s="93"/>
    </row>
    <row r="3874" spans="30:36" ht="18">
      <c r="AD3874" s="93"/>
      <c r="AE3874" s="214"/>
      <c r="AF3874" s="93"/>
      <c r="AG3874" s="93"/>
      <c r="AH3874" s="93"/>
      <c r="AI3874" s="93"/>
      <c r="AJ3874" s="93"/>
    </row>
    <row r="3875" spans="30:36" ht="18">
      <c r="AD3875" s="93"/>
      <c r="AE3875" s="214"/>
      <c r="AF3875" s="93"/>
      <c r="AG3875" s="93"/>
      <c r="AH3875" s="93"/>
      <c r="AI3875" s="93"/>
      <c r="AJ3875" s="93"/>
    </row>
    <row r="3876" spans="30:36" ht="18">
      <c r="AD3876" s="93"/>
      <c r="AE3876" s="214"/>
      <c r="AF3876" s="93"/>
      <c r="AG3876" s="93"/>
      <c r="AH3876" s="93"/>
      <c r="AI3876" s="93"/>
      <c r="AJ3876" s="93"/>
    </row>
    <row r="3877" spans="30:36" ht="18">
      <c r="AD3877" s="93"/>
      <c r="AE3877" s="214"/>
      <c r="AF3877" s="93"/>
      <c r="AG3877" s="93"/>
      <c r="AH3877" s="93"/>
      <c r="AI3877" s="93"/>
      <c r="AJ3877" s="93"/>
    </row>
    <row r="3878" spans="30:36" ht="18">
      <c r="AD3878" s="93"/>
      <c r="AE3878" s="214"/>
      <c r="AF3878" s="93"/>
      <c r="AG3878" s="93"/>
      <c r="AH3878" s="93"/>
      <c r="AI3878" s="93"/>
      <c r="AJ3878" s="93"/>
    </row>
    <row r="3879" spans="30:36" ht="18">
      <c r="AD3879" s="93"/>
      <c r="AE3879" s="214"/>
      <c r="AF3879" s="93"/>
      <c r="AG3879" s="93"/>
      <c r="AH3879" s="93"/>
      <c r="AI3879" s="93"/>
      <c r="AJ3879" s="93"/>
    </row>
    <row r="3880" spans="30:36" ht="18">
      <c r="AD3880" s="93"/>
      <c r="AE3880" s="214"/>
      <c r="AF3880" s="93"/>
      <c r="AG3880" s="93"/>
      <c r="AH3880" s="93"/>
      <c r="AI3880" s="93"/>
      <c r="AJ3880" s="93"/>
    </row>
    <row r="3881" spans="30:36" ht="18">
      <c r="AD3881" s="93"/>
      <c r="AE3881" s="215"/>
      <c r="AF3881" s="93"/>
      <c r="AG3881" s="93"/>
      <c r="AH3881" s="93"/>
      <c r="AI3881" s="93"/>
      <c r="AJ3881" s="93"/>
    </row>
    <row r="3882" spans="30:36" ht="18">
      <c r="AD3882" s="93"/>
      <c r="AE3882" s="214"/>
      <c r="AF3882" s="93"/>
      <c r="AG3882" s="93"/>
      <c r="AH3882" s="93"/>
      <c r="AI3882" s="93"/>
      <c r="AJ3882" s="93"/>
    </row>
    <row r="3883" spans="30:36" ht="18">
      <c r="AD3883" s="93"/>
      <c r="AE3883" s="214"/>
      <c r="AF3883" s="93"/>
      <c r="AG3883" s="93"/>
      <c r="AH3883" s="93"/>
      <c r="AI3883" s="93"/>
      <c r="AJ3883" s="93"/>
    </row>
    <row r="3884" spans="30:36" ht="18">
      <c r="AD3884" s="93"/>
      <c r="AE3884" s="214"/>
      <c r="AF3884" s="93"/>
      <c r="AG3884" s="93"/>
      <c r="AH3884" s="93"/>
      <c r="AI3884" s="93"/>
      <c r="AJ3884" s="93"/>
    </row>
    <row r="3885" spans="30:36" ht="18">
      <c r="AD3885" s="93"/>
      <c r="AE3885" s="214"/>
      <c r="AF3885" s="93"/>
      <c r="AG3885" s="93"/>
      <c r="AH3885" s="93"/>
      <c r="AI3885" s="93"/>
      <c r="AJ3885" s="93"/>
    </row>
    <row r="3886" spans="30:36" ht="18">
      <c r="AD3886" s="93"/>
      <c r="AE3886" s="214"/>
      <c r="AF3886" s="93"/>
      <c r="AG3886" s="93"/>
      <c r="AH3886" s="93"/>
      <c r="AI3886" s="93"/>
      <c r="AJ3886" s="93"/>
    </row>
    <row r="3887" spans="30:36" ht="18">
      <c r="AD3887" s="93"/>
      <c r="AE3887" s="214"/>
      <c r="AF3887" s="93"/>
      <c r="AG3887" s="93"/>
      <c r="AH3887" s="93"/>
      <c r="AI3887" s="93"/>
      <c r="AJ3887" s="93"/>
    </row>
    <row r="3888" spans="30:36" ht="18">
      <c r="AD3888" s="93"/>
      <c r="AE3888" s="214"/>
      <c r="AF3888" s="93"/>
      <c r="AG3888" s="93"/>
      <c r="AH3888" s="93"/>
      <c r="AI3888" s="93"/>
      <c r="AJ3888" s="93"/>
    </row>
    <row r="3889" spans="30:36" ht="18">
      <c r="AD3889" s="93"/>
      <c r="AE3889" s="215"/>
      <c r="AF3889" s="93"/>
      <c r="AG3889" s="93"/>
      <c r="AH3889" s="93"/>
      <c r="AI3889" s="93"/>
      <c r="AJ3889" s="93"/>
    </row>
    <row r="3890" spans="30:36" ht="18">
      <c r="AD3890" s="93"/>
      <c r="AE3890" s="214"/>
      <c r="AF3890" s="93"/>
      <c r="AG3890" s="93"/>
      <c r="AH3890" s="93"/>
      <c r="AI3890" s="93"/>
      <c r="AJ3890" s="93"/>
    </row>
    <row r="3891" spans="30:36" ht="18">
      <c r="AD3891" s="93"/>
      <c r="AE3891" s="214"/>
      <c r="AF3891" s="93"/>
      <c r="AG3891" s="93"/>
      <c r="AH3891" s="93"/>
      <c r="AI3891" s="93"/>
      <c r="AJ3891" s="93"/>
    </row>
    <row r="3892" spans="30:36" ht="18">
      <c r="AD3892" s="93"/>
      <c r="AE3892" s="214"/>
      <c r="AF3892" s="93"/>
      <c r="AG3892" s="93"/>
      <c r="AH3892" s="93"/>
      <c r="AI3892" s="93"/>
      <c r="AJ3892" s="93"/>
    </row>
    <row r="3893" spans="30:36" ht="18">
      <c r="AD3893" s="93"/>
      <c r="AE3893" s="214"/>
      <c r="AF3893" s="93"/>
      <c r="AG3893" s="93"/>
      <c r="AH3893" s="93"/>
      <c r="AI3893" s="93"/>
      <c r="AJ3893" s="93"/>
    </row>
    <row r="3894" spans="30:36" ht="18">
      <c r="AD3894" s="93"/>
      <c r="AE3894" s="215"/>
      <c r="AF3894" s="93"/>
      <c r="AG3894" s="93"/>
      <c r="AH3894" s="93"/>
      <c r="AI3894" s="93"/>
      <c r="AJ3894" s="93"/>
    </row>
    <row r="3895" spans="30:36" ht="18">
      <c r="AD3895" s="93"/>
      <c r="AE3895" s="215"/>
      <c r="AF3895" s="93"/>
      <c r="AG3895" s="93"/>
      <c r="AH3895" s="93"/>
      <c r="AI3895" s="93"/>
      <c r="AJ3895" s="93"/>
    </row>
    <row r="3896" spans="30:36" ht="18">
      <c r="AD3896" s="93"/>
      <c r="AE3896" s="214"/>
      <c r="AF3896" s="93"/>
      <c r="AG3896" s="93"/>
      <c r="AH3896" s="93"/>
      <c r="AI3896" s="93"/>
      <c r="AJ3896" s="93"/>
    </row>
    <row r="3897" spans="30:36" ht="18">
      <c r="AD3897" s="93"/>
      <c r="AE3897" s="214"/>
      <c r="AF3897" s="93"/>
      <c r="AG3897" s="93"/>
      <c r="AH3897" s="93"/>
      <c r="AI3897" s="93"/>
      <c r="AJ3897" s="93"/>
    </row>
    <row r="3898" spans="30:36" ht="18">
      <c r="AD3898" s="93"/>
      <c r="AE3898" s="214"/>
      <c r="AF3898" s="93"/>
      <c r="AG3898" s="93"/>
      <c r="AH3898" s="93"/>
      <c r="AI3898" s="93"/>
      <c r="AJ3898" s="93"/>
    </row>
    <row r="3899" spans="30:36" ht="18">
      <c r="AD3899" s="93"/>
      <c r="AE3899" s="214"/>
      <c r="AF3899" s="93"/>
      <c r="AG3899" s="93"/>
      <c r="AH3899" s="93"/>
      <c r="AI3899" s="93"/>
      <c r="AJ3899" s="93"/>
    </row>
    <row r="3900" spans="30:36" ht="18">
      <c r="AD3900" s="93"/>
      <c r="AE3900" s="214"/>
      <c r="AF3900" s="93"/>
      <c r="AG3900" s="93"/>
      <c r="AH3900" s="93"/>
      <c r="AI3900" s="93"/>
      <c r="AJ3900" s="93"/>
    </row>
    <row r="3901" spans="30:36" ht="18">
      <c r="AD3901" s="93"/>
      <c r="AE3901" s="214"/>
      <c r="AF3901" s="93"/>
      <c r="AG3901" s="93"/>
      <c r="AH3901" s="93"/>
      <c r="AI3901" s="93"/>
      <c r="AJ3901" s="93"/>
    </row>
    <row r="3902" spans="30:36" ht="18">
      <c r="AD3902" s="93"/>
      <c r="AE3902" s="214"/>
      <c r="AF3902" s="93"/>
      <c r="AG3902" s="93"/>
      <c r="AH3902" s="93"/>
      <c r="AI3902" s="93"/>
      <c r="AJ3902" s="93"/>
    </row>
    <row r="3903" spans="30:36" ht="18">
      <c r="AD3903" s="93"/>
      <c r="AE3903" s="214"/>
      <c r="AF3903" s="93"/>
      <c r="AG3903" s="93"/>
      <c r="AH3903" s="93"/>
      <c r="AI3903" s="93"/>
      <c r="AJ3903" s="93"/>
    </row>
    <row r="3904" spans="30:36" ht="18">
      <c r="AD3904" s="93"/>
      <c r="AE3904" s="214"/>
      <c r="AF3904" s="93"/>
      <c r="AG3904" s="93"/>
      <c r="AH3904" s="93"/>
      <c r="AI3904" s="93"/>
      <c r="AJ3904" s="93"/>
    </row>
    <row r="3905" spans="30:36" ht="18">
      <c r="AD3905" s="93"/>
      <c r="AE3905" s="214"/>
      <c r="AF3905" s="93"/>
      <c r="AG3905" s="93"/>
      <c r="AH3905" s="93"/>
      <c r="AI3905" s="93"/>
      <c r="AJ3905" s="93"/>
    </row>
    <row r="3906" spans="30:36" ht="18">
      <c r="AD3906" s="93"/>
      <c r="AE3906" s="214"/>
      <c r="AF3906" s="93"/>
      <c r="AG3906" s="93"/>
      <c r="AH3906" s="93"/>
      <c r="AI3906" s="93"/>
      <c r="AJ3906" s="93"/>
    </row>
    <row r="3907" spans="30:36" ht="18">
      <c r="AD3907" s="93"/>
      <c r="AE3907" s="215"/>
      <c r="AF3907" s="93"/>
      <c r="AG3907" s="93"/>
      <c r="AH3907" s="93"/>
      <c r="AI3907" s="93"/>
      <c r="AJ3907" s="93"/>
    </row>
    <row r="3908" spans="30:36" ht="18">
      <c r="AD3908" s="93"/>
      <c r="AE3908" s="215"/>
      <c r="AF3908" s="93"/>
      <c r="AG3908" s="93"/>
      <c r="AH3908" s="93"/>
      <c r="AI3908" s="93"/>
      <c r="AJ3908" s="93"/>
    </row>
    <row r="3909" spans="30:36" ht="18">
      <c r="AD3909" s="93"/>
      <c r="AE3909" s="214"/>
      <c r="AF3909" s="93"/>
      <c r="AG3909" s="93"/>
      <c r="AH3909" s="93"/>
      <c r="AI3909" s="93"/>
      <c r="AJ3909" s="93"/>
    </row>
    <row r="3910" spans="30:36" ht="18">
      <c r="AD3910" s="93"/>
      <c r="AE3910" s="214"/>
      <c r="AF3910" s="93"/>
      <c r="AG3910" s="93"/>
      <c r="AH3910" s="93"/>
      <c r="AI3910" s="93"/>
      <c r="AJ3910" s="93"/>
    </row>
    <row r="3911" spans="30:36" ht="18">
      <c r="AD3911" s="93"/>
      <c r="AE3911" s="214"/>
      <c r="AF3911" s="93"/>
      <c r="AG3911" s="93"/>
      <c r="AH3911" s="93"/>
      <c r="AI3911" s="93"/>
      <c r="AJ3911" s="93"/>
    </row>
    <row r="3912" spans="30:36" ht="18">
      <c r="AD3912" s="93"/>
      <c r="AE3912" s="214"/>
      <c r="AF3912" s="93"/>
      <c r="AG3912" s="93"/>
      <c r="AH3912" s="93"/>
      <c r="AI3912" s="93"/>
      <c r="AJ3912" s="93"/>
    </row>
    <row r="3913" spans="30:36" ht="18">
      <c r="AD3913" s="93"/>
      <c r="AE3913" s="214"/>
      <c r="AF3913" s="93"/>
      <c r="AG3913" s="93"/>
      <c r="AH3913" s="93"/>
      <c r="AI3913" s="93"/>
      <c r="AJ3913" s="93"/>
    </row>
    <row r="3914" spans="30:36" ht="18">
      <c r="AD3914" s="93"/>
      <c r="AE3914" s="214"/>
      <c r="AF3914" s="93"/>
      <c r="AG3914" s="93"/>
      <c r="AH3914" s="93"/>
      <c r="AI3914" s="93"/>
      <c r="AJ3914" s="93"/>
    </row>
    <row r="3915" spans="30:36" ht="18">
      <c r="AD3915" s="93"/>
      <c r="AE3915" s="214"/>
      <c r="AF3915" s="93"/>
      <c r="AG3915" s="93"/>
      <c r="AH3915" s="93"/>
      <c r="AI3915" s="93"/>
      <c r="AJ3915" s="93"/>
    </row>
    <row r="3916" spans="30:36" ht="18">
      <c r="AD3916" s="93"/>
      <c r="AE3916" s="215"/>
      <c r="AF3916" s="93"/>
      <c r="AG3916" s="93"/>
      <c r="AH3916" s="93"/>
      <c r="AI3916" s="93"/>
      <c r="AJ3916" s="93"/>
    </row>
    <row r="3917" spans="30:36" ht="18">
      <c r="AD3917" s="93"/>
      <c r="AE3917" s="214"/>
      <c r="AF3917" s="93"/>
      <c r="AG3917" s="93"/>
      <c r="AH3917" s="93"/>
      <c r="AI3917" s="93"/>
      <c r="AJ3917" s="93"/>
    </row>
    <row r="3918" spans="30:36" ht="18">
      <c r="AD3918" s="93"/>
      <c r="AE3918" s="214"/>
      <c r="AF3918" s="93"/>
      <c r="AG3918" s="93"/>
      <c r="AH3918" s="93"/>
      <c r="AI3918" s="93"/>
      <c r="AJ3918" s="93"/>
    </row>
    <row r="3919" spans="30:36" ht="18">
      <c r="AD3919" s="93"/>
      <c r="AE3919" s="215"/>
      <c r="AF3919" s="93"/>
      <c r="AG3919" s="93"/>
      <c r="AH3919" s="93"/>
      <c r="AI3919" s="93"/>
      <c r="AJ3919" s="93"/>
    </row>
    <row r="3920" spans="30:36" ht="18">
      <c r="AD3920" s="93"/>
      <c r="AE3920" s="214"/>
      <c r="AF3920" s="93"/>
      <c r="AG3920" s="93"/>
      <c r="AH3920" s="93"/>
      <c r="AI3920" s="93"/>
      <c r="AJ3920" s="93"/>
    </row>
    <row r="3921" spans="30:36" ht="18">
      <c r="AD3921" s="93"/>
      <c r="AE3921" s="214"/>
      <c r="AF3921" s="93"/>
      <c r="AG3921" s="93"/>
      <c r="AH3921" s="93"/>
      <c r="AI3921" s="93"/>
      <c r="AJ3921" s="93"/>
    </row>
    <row r="3922" spans="30:36" ht="18">
      <c r="AD3922" s="93"/>
      <c r="AE3922" s="215"/>
      <c r="AF3922" s="93"/>
      <c r="AG3922" s="93"/>
      <c r="AH3922" s="93"/>
      <c r="AI3922" s="93"/>
      <c r="AJ3922" s="93"/>
    </row>
    <row r="3923" spans="30:36" ht="18">
      <c r="AD3923" s="93"/>
      <c r="AE3923" s="214"/>
      <c r="AF3923" s="93"/>
      <c r="AG3923" s="93"/>
      <c r="AH3923" s="93"/>
      <c r="AI3923" s="93"/>
      <c r="AJ3923" s="93"/>
    </row>
    <row r="3924" spans="30:36" ht="18">
      <c r="AD3924" s="93"/>
      <c r="AE3924" s="214"/>
      <c r="AF3924" s="93"/>
      <c r="AG3924" s="93"/>
      <c r="AH3924" s="93"/>
      <c r="AI3924" s="93"/>
      <c r="AJ3924" s="93"/>
    </row>
    <row r="3925" spans="30:36" ht="18">
      <c r="AD3925" s="93"/>
      <c r="AE3925" s="214"/>
      <c r="AF3925" s="93"/>
      <c r="AG3925" s="93"/>
      <c r="AH3925" s="93"/>
      <c r="AI3925" s="93"/>
      <c r="AJ3925" s="93"/>
    </row>
    <row r="3926" spans="30:36" ht="18">
      <c r="AD3926" s="93"/>
      <c r="AE3926" s="214"/>
      <c r="AF3926" s="93"/>
      <c r="AG3926" s="93"/>
      <c r="AH3926" s="93"/>
      <c r="AI3926" s="93"/>
      <c r="AJ3926" s="93"/>
    </row>
    <row r="3927" spans="30:36" ht="18">
      <c r="AD3927" s="93"/>
      <c r="AE3927" s="215"/>
      <c r="AF3927" s="93"/>
      <c r="AG3927" s="93"/>
      <c r="AH3927" s="93"/>
      <c r="AI3927" s="93"/>
      <c r="AJ3927" s="93"/>
    </row>
    <row r="3928" spans="30:36" ht="18">
      <c r="AD3928" s="93"/>
      <c r="AE3928" s="215"/>
      <c r="AF3928" s="93"/>
      <c r="AG3928" s="93"/>
      <c r="AH3928" s="93"/>
      <c r="AI3928" s="93"/>
      <c r="AJ3928" s="93"/>
    </row>
    <row r="3929" spans="30:36" ht="18">
      <c r="AD3929" s="93"/>
      <c r="AE3929" s="215"/>
      <c r="AF3929" s="93"/>
      <c r="AG3929" s="93"/>
      <c r="AH3929" s="93"/>
      <c r="AI3929" s="93"/>
      <c r="AJ3929" s="93"/>
    </row>
    <row r="3930" spans="30:36" ht="18">
      <c r="AD3930" s="93"/>
      <c r="AE3930" s="214"/>
      <c r="AF3930" s="93"/>
      <c r="AG3930" s="93"/>
      <c r="AH3930" s="93"/>
      <c r="AI3930" s="93"/>
      <c r="AJ3930" s="93"/>
    </row>
    <row r="3931" spans="30:36" ht="18">
      <c r="AD3931" s="93"/>
      <c r="AE3931" s="214"/>
      <c r="AF3931" s="93"/>
      <c r="AG3931" s="93"/>
      <c r="AH3931" s="93"/>
      <c r="AI3931" s="93"/>
      <c r="AJ3931" s="93"/>
    </row>
    <row r="3932" spans="30:36" ht="18">
      <c r="AD3932" s="93"/>
      <c r="AE3932" s="215"/>
      <c r="AF3932" s="93"/>
      <c r="AG3932" s="93"/>
      <c r="AH3932" s="93"/>
      <c r="AI3932" s="93"/>
      <c r="AJ3932" s="93"/>
    </row>
    <row r="3933" spans="30:36" ht="18">
      <c r="AD3933" s="93"/>
      <c r="AE3933" s="214"/>
      <c r="AF3933" s="93"/>
      <c r="AG3933" s="93"/>
      <c r="AH3933" s="93"/>
      <c r="AI3933" s="93"/>
      <c r="AJ3933" s="93"/>
    </row>
    <row r="3934" spans="30:36" ht="18">
      <c r="AD3934" s="93"/>
      <c r="AE3934" s="214"/>
      <c r="AF3934" s="93"/>
      <c r="AG3934" s="93"/>
      <c r="AH3934" s="93"/>
      <c r="AI3934" s="93"/>
      <c r="AJ3934" s="93"/>
    </row>
    <row r="3935" spans="30:36" ht="18">
      <c r="AD3935" s="93"/>
      <c r="AE3935" s="214"/>
      <c r="AF3935" s="93"/>
      <c r="AG3935" s="93"/>
      <c r="AH3935" s="93"/>
      <c r="AI3935" s="93"/>
      <c r="AJ3935" s="93"/>
    </row>
    <row r="3936" spans="30:36" ht="18">
      <c r="AD3936" s="93"/>
      <c r="AE3936" s="215"/>
      <c r="AF3936" s="93"/>
      <c r="AG3936" s="93"/>
      <c r="AH3936" s="93"/>
      <c r="AI3936" s="93"/>
      <c r="AJ3936" s="93"/>
    </row>
    <row r="3937" spans="30:36" ht="18">
      <c r="AD3937" s="93"/>
      <c r="AE3937" s="215"/>
      <c r="AF3937" s="93"/>
      <c r="AG3937" s="93"/>
      <c r="AH3937" s="93"/>
      <c r="AI3937" s="93"/>
      <c r="AJ3937" s="93"/>
    </row>
    <row r="3938" spans="30:36" ht="18">
      <c r="AD3938" s="93"/>
      <c r="AE3938" s="215"/>
      <c r="AF3938" s="93"/>
      <c r="AG3938" s="93"/>
      <c r="AH3938" s="93"/>
      <c r="AI3938" s="93"/>
      <c r="AJ3938" s="93"/>
    </row>
    <row r="3939" spans="30:36" ht="18">
      <c r="AD3939" s="93"/>
      <c r="AE3939" s="214"/>
      <c r="AF3939" s="93"/>
      <c r="AG3939" s="93"/>
      <c r="AH3939" s="93"/>
      <c r="AI3939" s="93"/>
      <c r="AJ3939" s="93"/>
    </row>
    <row r="3940" spans="30:36" ht="18">
      <c r="AD3940" s="93"/>
      <c r="AE3940" s="214"/>
      <c r="AF3940" s="93"/>
      <c r="AG3940" s="93"/>
      <c r="AH3940" s="93"/>
      <c r="AI3940" s="93"/>
      <c r="AJ3940" s="93"/>
    </row>
    <row r="3941" spans="30:36" ht="18">
      <c r="AD3941" s="93"/>
      <c r="AE3941" s="215"/>
      <c r="AF3941" s="93"/>
      <c r="AG3941" s="93"/>
      <c r="AH3941" s="93"/>
      <c r="AI3941" s="93"/>
      <c r="AJ3941" s="93"/>
    </row>
    <row r="3942" spans="30:36" ht="18">
      <c r="AD3942" s="93"/>
      <c r="AE3942" s="214"/>
      <c r="AF3942" s="93"/>
      <c r="AG3942" s="93"/>
      <c r="AH3942" s="93"/>
      <c r="AI3942" s="93"/>
      <c r="AJ3942" s="93"/>
    </row>
    <row r="3943" spans="30:36" ht="18">
      <c r="AD3943" s="93"/>
      <c r="AE3943" s="214"/>
      <c r="AF3943" s="93"/>
      <c r="AG3943" s="93"/>
      <c r="AH3943" s="93"/>
      <c r="AI3943" s="93"/>
      <c r="AJ3943" s="93"/>
    </row>
    <row r="3944" spans="30:36" ht="18">
      <c r="AD3944" s="93"/>
      <c r="AE3944" s="215"/>
      <c r="AF3944" s="93"/>
      <c r="AG3944" s="93"/>
      <c r="AH3944" s="93"/>
      <c r="AI3944" s="93"/>
      <c r="AJ3944" s="93"/>
    </row>
    <row r="3945" spans="30:36" ht="18">
      <c r="AD3945" s="93"/>
      <c r="AE3945" s="214"/>
      <c r="AF3945" s="93"/>
      <c r="AG3945" s="93"/>
      <c r="AH3945" s="93"/>
      <c r="AI3945" s="93"/>
      <c r="AJ3945" s="93"/>
    </row>
    <row r="3946" spans="30:36" ht="18">
      <c r="AD3946" s="93"/>
      <c r="AE3946" s="214"/>
      <c r="AF3946" s="93"/>
      <c r="AG3946" s="93"/>
      <c r="AH3946" s="93"/>
      <c r="AI3946" s="93"/>
      <c r="AJ3946" s="93"/>
    </row>
    <row r="3947" spans="30:36" ht="18">
      <c r="AD3947" s="93"/>
      <c r="AE3947" s="215"/>
      <c r="AF3947" s="93"/>
      <c r="AG3947" s="93"/>
      <c r="AH3947" s="93"/>
      <c r="AI3947" s="93"/>
      <c r="AJ3947" s="93"/>
    </row>
    <row r="3948" spans="30:36" ht="18">
      <c r="AD3948" s="93"/>
      <c r="AE3948" s="214"/>
      <c r="AF3948" s="93"/>
      <c r="AG3948" s="93"/>
      <c r="AH3948" s="93"/>
      <c r="AI3948" s="93"/>
      <c r="AJ3948" s="93"/>
    </row>
    <row r="3949" spans="30:36" ht="18">
      <c r="AD3949" s="93"/>
      <c r="AE3949" s="214"/>
      <c r="AF3949" s="93"/>
      <c r="AG3949" s="93"/>
      <c r="AH3949" s="93"/>
      <c r="AI3949" s="93"/>
      <c r="AJ3949" s="93"/>
    </row>
    <row r="3950" spans="30:36" ht="18">
      <c r="AD3950" s="93"/>
      <c r="AE3950" s="215"/>
      <c r="AF3950" s="93"/>
      <c r="AG3950" s="93"/>
      <c r="AH3950" s="93"/>
      <c r="AI3950" s="93"/>
      <c r="AJ3950" s="93"/>
    </row>
    <row r="3951" spans="30:36" ht="18">
      <c r="AD3951" s="93"/>
      <c r="AE3951" s="215"/>
      <c r="AF3951" s="93"/>
      <c r="AG3951" s="93"/>
      <c r="AH3951" s="93"/>
      <c r="AI3951" s="93"/>
      <c r="AJ3951" s="93"/>
    </row>
    <row r="3952" spans="30:36" ht="18">
      <c r="AD3952" s="93"/>
      <c r="AE3952" s="214"/>
      <c r="AF3952" s="93"/>
      <c r="AG3952" s="93"/>
      <c r="AH3952" s="93"/>
      <c r="AI3952" s="93"/>
      <c r="AJ3952" s="93"/>
    </row>
    <row r="3953" spans="30:36" ht="18">
      <c r="AD3953" s="93"/>
      <c r="AE3953" s="214"/>
      <c r="AF3953" s="93"/>
      <c r="AG3953" s="93"/>
      <c r="AH3953" s="93"/>
      <c r="AI3953" s="93"/>
      <c r="AJ3953" s="93"/>
    </row>
    <row r="3954" spans="30:36" ht="18">
      <c r="AD3954" s="93"/>
      <c r="AE3954" s="215"/>
      <c r="AF3954" s="93"/>
      <c r="AG3954" s="93"/>
      <c r="AH3954" s="93"/>
      <c r="AI3954" s="93"/>
      <c r="AJ3954" s="93"/>
    </row>
    <row r="3955" spans="30:36" ht="18">
      <c r="AD3955" s="93"/>
      <c r="AE3955" s="214"/>
      <c r="AF3955" s="93"/>
      <c r="AG3955" s="93"/>
      <c r="AH3955" s="93"/>
      <c r="AI3955" s="93"/>
      <c r="AJ3955" s="93"/>
    </row>
    <row r="3956" spans="30:36" ht="18">
      <c r="AD3956" s="93"/>
      <c r="AE3956" s="214"/>
      <c r="AF3956" s="93"/>
      <c r="AG3956" s="93"/>
      <c r="AH3956" s="93"/>
      <c r="AI3956" s="93"/>
      <c r="AJ3956" s="93"/>
    </row>
    <row r="3957" spans="30:36" ht="18">
      <c r="AD3957" s="93"/>
      <c r="AE3957" s="214"/>
      <c r="AF3957" s="93"/>
      <c r="AG3957" s="93"/>
      <c r="AH3957" s="93"/>
      <c r="AI3957" s="93"/>
      <c r="AJ3957" s="93"/>
    </row>
    <row r="3958" spans="30:36" ht="18">
      <c r="AD3958" s="93"/>
      <c r="AE3958" s="214"/>
      <c r="AF3958" s="93"/>
      <c r="AG3958" s="93"/>
      <c r="AH3958" s="93"/>
      <c r="AI3958" s="93"/>
      <c r="AJ3958" s="93"/>
    </row>
    <row r="3959" spans="30:36" ht="18">
      <c r="AD3959" s="93"/>
      <c r="AE3959" s="215"/>
      <c r="AF3959" s="93"/>
      <c r="AG3959" s="93"/>
      <c r="AH3959" s="93"/>
      <c r="AI3959" s="93"/>
      <c r="AJ3959" s="93"/>
    </row>
    <row r="3960" spans="30:36" ht="18">
      <c r="AD3960" s="93"/>
      <c r="AE3960" s="215"/>
      <c r="AF3960" s="93"/>
      <c r="AG3960" s="93"/>
      <c r="AH3960" s="93"/>
      <c r="AI3960" s="93"/>
      <c r="AJ3960" s="93"/>
    </row>
    <row r="3961" spans="30:36" ht="18">
      <c r="AD3961" s="93"/>
      <c r="AE3961" s="215"/>
      <c r="AF3961" s="93"/>
      <c r="AG3961" s="93"/>
      <c r="AH3961" s="93"/>
      <c r="AI3961" s="93"/>
      <c r="AJ3961" s="93"/>
    </row>
    <row r="3962" spans="30:36" ht="18">
      <c r="AD3962" s="93"/>
      <c r="AE3962" s="214"/>
      <c r="AF3962" s="93"/>
      <c r="AG3962" s="93"/>
      <c r="AH3962" s="93"/>
      <c r="AI3962" s="93"/>
      <c r="AJ3962" s="93"/>
    </row>
    <row r="3963" spans="30:36" ht="18">
      <c r="AD3963" s="93"/>
      <c r="AE3963" s="214"/>
      <c r="AF3963" s="93"/>
      <c r="AG3963" s="93"/>
      <c r="AH3963" s="93"/>
      <c r="AI3963" s="93"/>
      <c r="AJ3963" s="93"/>
    </row>
    <row r="3964" spans="30:36" ht="18">
      <c r="AD3964" s="93"/>
      <c r="AE3964" s="214"/>
      <c r="AF3964" s="93"/>
      <c r="AG3964" s="93"/>
      <c r="AH3964" s="93"/>
      <c r="AI3964" s="93"/>
      <c r="AJ3964" s="93"/>
    </row>
    <row r="3965" spans="30:36" ht="18">
      <c r="AD3965" s="93"/>
      <c r="AE3965" s="214"/>
      <c r="AF3965" s="93"/>
      <c r="AG3965" s="93"/>
      <c r="AH3965" s="93"/>
      <c r="AI3965" s="93"/>
      <c r="AJ3965" s="93"/>
    </row>
    <row r="3966" spans="30:36" ht="18">
      <c r="AD3966" s="93"/>
      <c r="AE3966" s="215"/>
      <c r="AF3966" s="93"/>
      <c r="AG3966" s="93"/>
      <c r="AH3966" s="93"/>
      <c r="AI3966" s="93"/>
      <c r="AJ3966" s="93"/>
    </row>
    <row r="3967" spans="30:36" ht="18">
      <c r="AD3967" s="93"/>
      <c r="AE3967" s="215"/>
      <c r="AF3967" s="93"/>
      <c r="AG3967" s="93"/>
      <c r="AH3967" s="93"/>
      <c r="AI3967" s="93"/>
      <c r="AJ3967" s="93"/>
    </row>
    <row r="3968" spans="30:36" ht="18">
      <c r="AD3968" s="93"/>
      <c r="AE3968" s="215"/>
      <c r="AF3968" s="93"/>
      <c r="AG3968" s="93"/>
      <c r="AH3968" s="93"/>
      <c r="AI3968" s="93"/>
      <c r="AJ3968" s="93"/>
    </row>
    <row r="3969" spans="30:36" ht="18">
      <c r="AD3969" s="93"/>
      <c r="AE3969" s="214"/>
      <c r="AF3969" s="93"/>
      <c r="AG3969" s="93"/>
      <c r="AH3969" s="93"/>
      <c r="AI3969" s="93"/>
      <c r="AJ3969" s="93"/>
    </row>
    <row r="3970" spans="30:36" ht="18">
      <c r="AD3970" s="93"/>
      <c r="AE3970" s="214"/>
      <c r="AF3970" s="93"/>
      <c r="AG3970" s="93"/>
      <c r="AH3970" s="93"/>
      <c r="AI3970" s="93"/>
      <c r="AJ3970" s="93"/>
    </row>
    <row r="3971" spans="30:36" ht="18">
      <c r="AD3971" s="93"/>
      <c r="AE3971" s="215"/>
      <c r="AF3971" s="93"/>
      <c r="AG3971" s="93"/>
      <c r="AH3971" s="93"/>
      <c r="AI3971" s="93"/>
      <c r="AJ3971" s="93"/>
    </row>
    <row r="3972" spans="30:36" ht="18">
      <c r="AD3972" s="93"/>
      <c r="AE3972" s="214"/>
      <c r="AF3972" s="93"/>
      <c r="AG3972" s="93"/>
      <c r="AH3972" s="93"/>
      <c r="AI3972" s="93"/>
      <c r="AJ3972" s="93"/>
    </row>
    <row r="3973" spans="30:36" ht="18">
      <c r="AD3973" s="93"/>
      <c r="AE3973" s="214"/>
      <c r="AF3973" s="93"/>
      <c r="AG3973" s="93"/>
      <c r="AH3973" s="93"/>
      <c r="AI3973" s="93"/>
      <c r="AJ3973" s="93"/>
    </row>
    <row r="3974" spans="30:36" ht="18">
      <c r="AD3974" s="93"/>
      <c r="AE3974" s="215"/>
      <c r="AF3974" s="93"/>
      <c r="AG3974" s="93"/>
      <c r="AH3974" s="93"/>
      <c r="AI3974" s="93"/>
      <c r="AJ3974" s="93"/>
    </row>
    <row r="3975" spans="30:36" ht="18">
      <c r="AD3975" s="93"/>
      <c r="AE3975" s="214"/>
      <c r="AF3975" s="93"/>
      <c r="AG3975" s="93"/>
      <c r="AH3975" s="93"/>
      <c r="AI3975" s="93"/>
      <c r="AJ3975" s="93"/>
    </row>
    <row r="3976" spans="30:36" ht="18">
      <c r="AD3976" s="93"/>
      <c r="AE3976" s="214"/>
      <c r="AF3976" s="93"/>
      <c r="AG3976" s="93"/>
      <c r="AH3976" s="93"/>
      <c r="AI3976" s="93"/>
      <c r="AJ3976" s="93"/>
    </row>
    <row r="3977" spans="30:36" ht="18">
      <c r="AD3977" s="93"/>
      <c r="AE3977" s="215"/>
      <c r="AF3977" s="93"/>
      <c r="AG3977" s="93"/>
      <c r="AH3977" s="93"/>
      <c r="AI3977" s="93"/>
      <c r="AJ3977" s="93"/>
    </row>
    <row r="3978" spans="30:36" ht="18">
      <c r="AD3978" s="93"/>
      <c r="AE3978" s="214"/>
      <c r="AF3978" s="93"/>
      <c r="AG3978" s="93"/>
      <c r="AH3978" s="93"/>
      <c r="AI3978" s="93"/>
      <c r="AJ3978" s="93"/>
    </row>
    <row r="3979" spans="30:36" ht="18">
      <c r="AD3979" s="93"/>
      <c r="AE3979" s="214"/>
      <c r="AF3979" s="93"/>
      <c r="AG3979" s="93"/>
      <c r="AH3979" s="93"/>
      <c r="AI3979" s="93"/>
      <c r="AJ3979" s="93"/>
    </row>
    <row r="3980" spans="30:36" ht="18">
      <c r="AD3980" s="93"/>
      <c r="AE3980" s="214"/>
      <c r="AF3980" s="93"/>
      <c r="AG3980" s="93"/>
      <c r="AH3980" s="93"/>
      <c r="AI3980" s="93"/>
      <c r="AJ3980" s="93"/>
    </row>
    <row r="3981" spans="30:36" ht="18">
      <c r="AD3981" s="93"/>
      <c r="AE3981" s="214"/>
      <c r="AF3981" s="93"/>
      <c r="AG3981" s="93"/>
      <c r="AH3981" s="93"/>
      <c r="AI3981" s="93"/>
      <c r="AJ3981" s="93"/>
    </row>
    <row r="3982" spans="30:36" ht="18">
      <c r="AD3982" s="93"/>
      <c r="AE3982" s="215"/>
      <c r="AF3982" s="93"/>
      <c r="AG3982" s="93"/>
      <c r="AH3982" s="93"/>
      <c r="AI3982" s="93"/>
      <c r="AJ3982" s="93"/>
    </row>
    <row r="3983" spans="30:36" ht="18">
      <c r="AD3983" s="93"/>
      <c r="AE3983" s="214"/>
      <c r="AF3983" s="93"/>
      <c r="AG3983" s="93"/>
      <c r="AH3983" s="93"/>
      <c r="AI3983" s="93"/>
      <c r="AJ3983" s="93"/>
    </row>
    <row r="3984" spans="30:36" ht="18">
      <c r="AD3984" s="93"/>
      <c r="AE3984" s="214"/>
      <c r="AF3984" s="93"/>
      <c r="AG3984" s="93"/>
      <c r="AH3984" s="93"/>
      <c r="AI3984" s="93"/>
      <c r="AJ3984" s="93"/>
    </row>
    <row r="3985" spans="30:36" ht="18">
      <c r="AD3985" s="93"/>
      <c r="AE3985" s="214"/>
      <c r="AF3985" s="93"/>
      <c r="AG3985" s="93"/>
      <c r="AH3985" s="93"/>
      <c r="AI3985" s="93"/>
      <c r="AJ3985" s="93"/>
    </row>
    <row r="3986" spans="30:36" ht="18">
      <c r="AD3986" s="93"/>
      <c r="AE3986" s="214"/>
      <c r="AF3986" s="93"/>
      <c r="AG3986" s="93"/>
      <c r="AH3986" s="93"/>
      <c r="AI3986" s="93"/>
      <c r="AJ3986" s="93"/>
    </row>
    <row r="3987" spans="30:36" ht="18">
      <c r="AD3987" s="93"/>
      <c r="AE3987" s="214"/>
      <c r="AF3987" s="93"/>
      <c r="AG3987" s="93"/>
      <c r="AH3987" s="93"/>
      <c r="AI3987" s="93"/>
      <c r="AJ3987" s="93"/>
    </row>
    <row r="3988" spans="30:36" ht="18">
      <c r="AD3988" s="93"/>
      <c r="AE3988" s="215"/>
      <c r="AF3988" s="93"/>
      <c r="AG3988" s="93"/>
      <c r="AH3988" s="93"/>
      <c r="AI3988" s="93"/>
      <c r="AJ3988" s="93"/>
    </row>
    <row r="3989" spans="30:36" ht="18">
      <c r="AD3989" s="93"/>
      <c r="AE3989" s="214"/>
      <c r="AF3989" s="93"/>
      <c r="AG3989" s="93"/>
      <c r="AH3989" s="93"/>
      <c r="AI3989" s="93"/>
      <c r="AJ3989" s="93"/>
    </row>
    <row r="3990" spans="30:36" ht="18">
      <c r="AD3990" s="93"/>
      <c r="AE3990" s="214"/>
      <c r="AF3990" s="93"/>
      <c r="AG3990" s="93"/>
      <c r="AH3990" s="93"/>
      <c r="AI3990" s="93"/>
      <c r="AJ3990" s="93"/>
    </row>
    <row r="3991" spans="30:36" ht="18">
      <c r="AD3991" s="93"/>
      <c r="AE3991" s="214"/>
      <c r="AF3991" s="93"/>
      <c r="AG3991" s="93"/>
      <c r="AH3991" s="93"/>
      <c r="AI3991" s="93"/>
      <c r="AJ3991" s="93"/>
    </row>
    <row r="3992" spans="30:36" ht="18">
      <c r="AD3992" s="93"/>
      <c r="AE3992" s="215"/>
      <c r="AF3992" s="93"/>
      <c r="AG3992" s="93"/>
      <c r="AH3992" s="93"/>
      <c r="AI3992" s="93"/>
      <c r="AJ3992" s="93"/>
    </row>
    <row r="3993" spans="30:36" ht="18">
      <c r="AD3993" s="93"/>
      <c r="AE3993" s="214"/>
      <c r="AF3993" s="93"/>
      <c r="AG3993" s="93"/>
      <c r="AH3993" s="93"/>
      <c r="AI3993" s="93"/>
      <c r="AJ3993" s="93"/>
    </row>
    <row r="3994" spans="30:36" ht="18">
      <c r="AD3994" s="93"/>
      <c r="AE3994" s="214"/>
      <c r="AF3994" s="93"/>
      <c r="AG3994" s="93"/>
      <c r="AH3994" s="93"/>
      <c r="AI3994" s="93"/>
      <c r="AJ3994" s="93"/>
    </row>
    <row r="3995" spans="30:36" ht="18">
      <c r="AD3995" s="93"/>
      <c r="AE3995" s="214"/>
      <c r="AF3995" s="93"/>
      <c r="AG3995" s="93"/>
      <c r="AH3995" s="93"/>
      <c r="AI3995" s="93"/>
      <c r="AJ3995" s="93"/>
    </row>
    <row r="3996" spans="30:36" ht="18">
      <c r="AD3996" s="93"/>
      <c r="AE3996" s="214"/>
      <c r="AF3996" s="93"/>
      <c r="AG3996" s="93"/>
      <c r="AH3996" s="93"/>
      <c r="AI3996" s="93"/>
      <c r="AJ3996" s="93"/>
    </row>
    <row r="3997" spans="30:36" ht="18">
      <c r="AD3997" s="93"/>
      <c r="AE3997" s="214"/>
      <c r="AF3997" s="93"/>
      <c r="AG3997" s="93"/>
      <c r="AH3997" s="93"/>
      <c r="AI3997" s="93"/>
      <c r="AJ3997" s="93"/>
    </row>
    <row r="3998" spans="30:36" ht="18">
      <c r="AD3998" s="93"/>
      <c r="AE3998" s="215"/>
      <c r="AF3998" s="93"/>
      <c r="AG3998" s="93"/>
      <c r="AH3998" s="93"/>
      <c r="AI3998" s="93"/>
      <c r="AJ3998" s="93"/>
    </row>
    <row r="3999" spans="30:36" ht="18">
      <c r="AD3999" s="93"/>
      <c r="AE3999" s="214"/>
      <c r="AF3999" s="93"/>
      <c r="AG3999" s="93"/>
      <c r="AH3999" s="93"/>
      <c r="AI3999" s="93"/>
      <c r="AJ3999" s="93"/>
    </row>
    <row r="4000" spans="30:36" ht="18">
      <c r="AD4000" s="93"/>
      <c r="AE4000" s="214"/>
      <c r="AF4000" s="93"/>
      <c r="AG4000" s="93"/>
      <c r="AH4000" s="93"/>
      <c r="AI4000" s="93"/>
      <c r="AJ4000" s="93"/>
    </row>
    <row r="4001" spans="30:36" ht="18">
      <c r="AD4001" s="93"/>
      <c r="AE4001" s="214"/>
      <c r="AF4001" s="93"/>
      <c r="AG4001" s="93"/>
      <c r="AH4001" s="93"/>
      <c r="AI4001" s="93"/>
      <c r="AJ4001" s="93"/>
    </row>
    <row r="4002" spans="30:36" ht="18">
      <c r="AD4002" s="93"/>
      <c r="AE4002" s="214"/>
      <c r="AF4002" s="93"/>
      <c r="AG4002" s="93"/>
      <c r="AH4002" s="93"/>
      <c r="AI4002" s="93"/>
      <c r="AJ4002" s="93"/>
    </row>
    <row r="4003" spans="30:36" ht="18">
      <c r="AD4003" s="93"/>
      <c r="AE4003" s="214"/>
      <c r="AF4003" s="93"/>
      <c r="AG4003" s="93"/>
      <c r="AH4003" s="93"/>
      <c r="AI4003" s="93"/>
      <c r="AJ4003" s="93"/>
    </row>
    <row r="4004" spans="30:36" ht="18">
      <c r="AD4004" s="93"/>
      <c r="AE4004" s="215"/>
      <c r="AF4004" s="93"/>
      <c r="AG4004" s="93"/>
      <c r="AH4004" s="93"/>
      <c r="AI4004" s="93"/>
      <c r="AJ4004" s="93"/>
    </row>
    <row r="4005" spans="30:36" ht="18">
      <c r="AD4005" s="93"/>
      <c r="AE4005" s="214"/>
      <c r="AF4005" s="93"/>
      <c r="AG4005" s="93"/>
      <c r="AH4005" s="93"/>
      <c r="AI4005" s="93"/>
      <c r="AJ4005" s="93"/>
    </row>
    <row r="4006" spans="30:36" ht="18">
      <c r="AD4006" s="93"/>
      <c r="AE4006" s="214"/>
      <c r="AF4006" s="93"/>
      <c r="AG4006" s="93"/>
      <c r="AH4006" s="93"/>
      <c r="AI4006" s="93"/>
      <c r="AJ4006" s="93"/>
    </row>
    <row r="4007" spans="30:36" ht="18">
      <c r="AD4007" s="93"/>
      <c r="AE4007" s="215"/>
      <c r="AF4007" s="93"/>
      <c r="AG4007" s="93"/>
      <c r="AH4007" s="93"/>
      <c r="AI4007" s="93"/>
      <c r="AJ4007" s="93"/>
    </row>
    <row r="4008" spans="30:36" ht="18">
      <c r="AD4008" s="93"/>
      <c r="AE4008" s="214"/>
      <c r="AF4008" s="93"/>
      <c r="AG4008" s="93"/>
      <c r="AH4008" s="93"/>
      <c r="AI4008" s="93"/>
      <c r="AJ4008" s="93"/>
    </row>
    <row r="4009" spans="30:36" ht="18">
      <c r="AD4009" s="93"/>
      <c r="AE4009" s="214"/>
      <c r="AF4009" s="93"/>
      <c r="AG4009" s="93"/>
      <c r="AH4009" s="93"/>
      <c r="AI4009" s="93"/>
      <c r="AJ4009" s="93"/>
    </row>
    <row r="4010" spans="30:36" ht="18">
      <c r="AD4010" s="93"/>
      <c r="AE4010" s="215"/>
      <c r="AF4010" s="93"/>
      <c r="AG4010" s="93"/>
      <c r="AH4010" s="93"/>
      <c r="AI4010" s="93"/>
      <c r="AJ4010" s="93"/>
    </row>
    <row r="4011" spans="30:36" ht="18">
      <c r="AD4011" s="93"/>
      <c r="AE4011" s="214"/>
      <c r="AF4011" s="93"/>
      <c r="AG4011" s="93"/>
      <c r="AH4011" s="93"/>
      <c r="AI4011" s="93"/>
      <c r="AJ4011" s="93"/>
    </row>
    <row r="4012" spans="30:36" ht="18">
      <c r="AD4012" s="93"/>
      <c r="AE4012" s="214"/>
      <c r="AF4012" s="93"/>
      <c r="AG4012" s="93"/>
      <c r="AH4012" s="93"/>
      <c r="AI4012" s="93"/>
      <c r="AJ4012" s="93"/>
    </row>
    <row r="4013" spans="30:36" ht="18">
      <c r="AD4013" s="93"/>
      <c r="AE4013" s="215"/>
      <c r="AF4013" s="93"/>
      <c r="AG4013" s="93"/>
      <c r="AH4013" s="93"/>
      <c r="AI4013" s="93"/>
      <c r="AJ4013" s="93"/>
    </row>
    <row r="4014" spans="30:36" ht="18">
      <c r="AD4014" s="93"/>
      <c r="AE4014" s="214"/>
      <c r="AF4014" s="93"/>
      <c r="AG4014" s="93"/>
      <c r="AH4014" s="93"/>
      <c r="AI4014" s="93"/>
      <c r="AJ4014" s="93"/>
    </row>
    <row r="4015" spans="30:36" ht="18">
      <c r="AD4015" s="93"/>
      <c r="AE4015" s="214"/>
      <c r="AF4015" s="93"/>
      <c r="AG4015" s="93"/>
      <c r="AH4015" s="93"/>
      <c r="AI4015" s="93"/>
      <c r="AJ4015" s="93"/>
    </row>
    <row r="4016" spans="30:36" ht="18">
      <c r="AD4016" s="93"/>
      <c r="AE4016" s="214"/>
      <c r="AF4016" s="93"/>
      <c r="AG4016" s="93"/>
      <c r="AH4016" s="93"/>
      <c r="AI4016" s="93"/>
      <c r="AJ4016" s="93"/>
    </row>
    <row r="4017" spans="30:36" ht="18">
      <c r="AD4017" s="93"/>
      <c r="AE4017" s="214"/>
      <c r="AF4017" s="93"/>
      <c r="AG4017" s="93"/>
      <c r="AH4017" s="93"/>
      <c r="AI4017" s="93"/>
      <c r="AJ4017" s="93"/>
    </row>
    <row r="4018" spans="30:36" ht="18">
      <c r="AD4018" s="93"/>
      <c r="AE4018" s="214"/>
      <c r="AF4018" s="93"/>
      <c r="AG4018" s="93"/>
      <c r="AH4018" s="93"/>
      <c r="AI4018" s="93"/>
      <c r="AJ4018" s="93"/>
    </row>
    <row r="4019" spans="30:36" ht="18">
      <c r="AD4019" s="93"/>
      <c r="AE4019" s="215"/>
      <c r="AF4019" s="93"/>
      <c r="AG4019" s="93"/>
      <c r="AH4019" s="93"/>
      <c r="AI4019" s="93"/>
      <c r="AJ4019" s="93"/>
    </row>
    <row r="4020" spans="30:36" ht="18">
      <c r="AD4020" s="93"/>
      <c r="AE4020" s="214"/>
      <c r="AF4020" s="93"/>
      <c r="AG4020" s="93"/>
      <c r="AH4020" s="93"/>
      <c r="AI4020" s="93"/>
      <c r="AJ4020" s="93"/>
    </row>
    <row r="4021" spans="30:36" ht="18">
      <c r="AD4021" s="93"/>
      <c r="AE4021" s="214"/>
      <c r="AF4021" s="93"/>
      <c r="AG4021" s="93"/>
      <c r="AH4021" s="93"/>
      <c r="AI4021" s="93"/>
      <c r="AJ4021" s="93"/>
    </row>
    <row r="4022" spans="30:36" ht="18">
      <c r="AD4022" s="93"/>
      <c r="AE4022" s="215"/>
      <c r="AF4022" s="93"/>
      <c r="AG4022" s="93"/>
      <c r="AH4022" s="93"/>
      <c r="AI4022" s="93"/>
      <c r="AJ4022" s="93"/>
    </row>
    <row r="4023" spans="30:36" ht="18">
      <c r="AD4023" s="93"/>
      <c r="AE4023" s="214"/>
      <c r="AF4023" s="93"/>
      <c r="AG4023" s="93"/>
      <c r="AH4023" s="93"/>
      <c r="AI4023" s="93"/>
      <c r="AJ4023" s="93"/>
    </row>
    <row r="4024" spans="30:36" ht="18">
      <c r="AD4024" s="93"/>
      <c r="AE4024" s="214"/>
      <c r="AF4024" s="93"/>
      <c r="AG4024" s="93"/>
      <c r="AH4024" s="93"/>
      <c r="AI4024" s="93"/>
      <c r="AJ4024" s="93"/>
    </row>
    <row r="4025" spans="30:36" ht="18">
      <c r="AD4025" s="93"/>
      <c r="AE4025" s="215"/>
      <c r="AF4025" s="93"/>
      <c r="AG4025" s="93"/>
      <c r="AH4025" s="93"/>
      <c r="AI4025" s="93"/>
      <c r="AJ4025" s="93"/>
    </row>
    <row r="4026" spans="30:36" ht="18">
      <c r="AD4026" s="93"/>
      <c r="AE4026" s="214"/>
      <c r="AF4026" s="93"/>
      <c r="AG4026" s="93"/>
      <c r="AH4026" s="93"/>
      <c r="AI4026" s="93"/>
      <c r="AJ4026" s="93"/>
    </row>
    <row r="4027" spans="30:36" ht="18">
      <c r="AD4027" s="93"/>
      <c r="AE4027" s="214"/>
      <c r="AF4027" s="93"/>
      <c r="AG4027" s="93"/>
      <c r="AH4027" s="93"/>
      <c r="AI4027" s="93"/>
      <c r="AJ4027" s="93"/>
    </row>
    <row r="4028" spans="30:36" ht="18">
      <c r="AD4028" s="93"/>
      <c r="AE4028" s="215"/>
      <c r="AF4028" s="93"/>
      <c r="AG4028" s="93"/>
      <c r="AH4028" s="93"/>
      <c r="AI4028" s="93"/>
      <c r="AJ4028" s="93"/>
    </row>
    <row r="4029" spans="30:36" ht="18">
      <c r="AD4029" s="93"/>
      <c r="AE4029" s="214"/>
      <c r="AF4029" s="93"/>
      <c r="AG4029" s="93"/>
      <c r="AH4029" s="93"/>
      <c r="AI4029" s="93"/>
      <c r="AJ4029" s="93"/>
    </row>
    <row r="4030" spans="30:36" ht="18">
      <c r="AD4030" s="93"/>
      <c r="AE4030" s="214"/>
      <c r="AF4030" s="93"/>
      <c r="AG4030" s="93"/>
      <c r="AH4030" s="93"/>
      <c r="AI4030" s="93"/>
      <c r="AJ4030" s="93"/>
    </row>
    <row r="4031" spans="30:36" ht="18">
      <c r="AD4031" s="93"/>
      <c r="AE4031" s="215"/>
      <c r="AF4031" s="93"/>
      <c r="AG4031" s="93"/>
      <c r="AH4031" s="93"/>
      <c r="AI4031" s="93"/>
      <c r="AJ4031" s="93"/>
    </row>
    <row r="4032" spans="30:36" ht="18">
      <c r="AD4032" s="93"/>
      <c r="AE4032" s="214"/>
      <c r="AF4032" s="93"/>
      <c r="AG4032" s="93"/>
      <c r="AH4032" s="93"/>
      <c r="AI4032" s="93"/>
      <c r="AJ4032" s="93"/>
    </row>
    <row r="4033" spans="30:36" ht="18">
      <c r="AD4033" s="93"/>
      <c r="AE4033" s="214"/>
      <c r="AF4033" s="93"/>
      <c r="AG4033" s="93"/>
      <c r="AH4033" s="93"/>
      <c r="AI4033" s="93"/>
      <c r="AJ4033" s="93"/>
    </row>
    <row r="4034" spans="30:36" ht="18">
      <c r="AD4034" s="93"/>
      <c r="AE4034" s="215"/>
      <c r="AF4034" s="93"/>
      <c r="AG4034" s="93"/>
      <c r="AH4034" s="93"/>
      <c r="AI4034" s="93"/>
      <c r="AJ4034" s="93"/>
    </row>
    <row r="4035" spans="30:36" ht="18">
      <c r="AD4035" s="93"/>
      <c r="AE4035" s="214"/>
      <c r="AF4035" s="93"/>
      <c r="AG4035" s="93"/>
      <c r="AH4035" s="93"/>
      <c r="AI4035" s="93"/>
      <c r="AJ4035" s="93"/>
    </row>
    <row r="4036" spans="30:36" ht="18">
      <c r="AD4036" s="93"/>
      <c r="AE4036" s="214"/>
      <c r="AF4036" s="93"/>
      <c r="AG4036" s="93"/>
      <c r="AH4036" s="93"/>
      <c r="AI4036" s="93"/>
      <c r="AJ4036" s="93"/>
    </row>
    <row r="4037" spans="30:36" ht="18">
      <c r="AD4037" s="93"/>
      <c r="AE4037" s="215"/>
      <c r="AF4037" s="93"/>
      <c r="AG4037" s="93"/>
      <c r="AH4037" s="93"/>
      <c r="AI4037" s="93"/>
      <c r="AJ4037" s="93"/>
    </row>
    <row r="4038" spans="30:36" ht="18">
      <c r="AD4038" s="93"/>
      <c r="AE4038" s="214"/>
      <c r="AF4038" s="93"/>
      <c r="AG4038" s="93"/>
      <c r="AH4038" s="93"/>
      <c r="AI4038" s="93"/>
      <c r="AJ4038" s="93"/>
    </row>
    <row r="4039" spans="30:36" ht="18">
      <c r="AD4039" s="93"/>
      <c r="AE4039" s="214"/>
      <c r="AF4039" s="93"/>
      <c r="AG4039" s="93"/>
      <c r="AH4039" s="93"/>
      <c r="AI4039" s="93"/>
      <c r="AJ4039" s="93"/>
    </row>
    <row r="4040" spans="30:36" ht="18">
      <c r="AD4040" s="93"/>
      <c r="AE4040" s="214"/>
      <c r="AF4040" s="93"/>
      <c r="AG4040" s="93"/>
      <c r="AH4040" s="93"/>
      <c r="AI4040" s="93"/>
      <c r="AJ4040" s="93"/>
    </row>
    <row r="4041" spans="30:36" ht="18">
      <c r="AD4041" s="93"/>
      <c r="AE4041" s="214"/>
      <c r="AF4041" s="93"/>
      <c r="AG4041" s="93"/>
      <c r="AH4041" s="93"/>
      <c r="AI4041" s="93"/>
      <c r="AJ4041" s="93"/>
    </row>
    <row r="4042" spans="30:36" ht="18">
      <c r="AD4042" s="93"/>
      <c r="AE4042" s="214"/>
      <c r="AF4042" s="93"/>
      <c r="AG4042" s="93"/>
      <c r="AH4042" s="93"/>
      <c r="AI4042" s="93"/>
      <c r="AJ4042" s="93"/>
    </row>
    <row r="4043" spans="30:36" ht="18">
      <c r="AD4043" s="93"/>
      <c r="AE4043" s="215"/>
      <c r="AF4043" s="93"/>
      <c r="AG4043" s="93"/>
      <c r="AH4043" s="93"/>
      <c r="AI4043" s="93"/>
      <c r="AJ4043" s="93"/>
    </row>
    <row r="4044" spans="30:36" ht="18">
      <c r="AD4044" s="93"/>
      <c r="AE4044" s="214"/>
      <c r="AF4044" s="93"/>
      <c r="AG4044" s="93"/>
      <c r="AH4044" s="93"/>
      <c r="AI4044" s="93"/>
      <c r="AJ4044" s="93"/>
    </row>
    <row r="4045" spans="30:36" ht="18">
      <c r="AD4045" s="93"/>
      <c r="AE4045" s="214"/>
      <c r="AF4045" s="93"/>
      <c r="AG4045" s="93"/>
      <c r="AH4045" s="93"/>
      <c r="AI4045" s="93"/>
      <c r="AJ4045" s="93"/>
    </row>
    <row r="4046" spans="30:36" ht="18">
      <c r="AD4046" s="93"/>
      <c r="AE4046" s="215"/>
      <c r="AF4046" s="93"/>
      <c r="AG4046" s="93"/>
      <c r="AH4046" s="93"/>
      <c r="AI4046" s="93"/>
      <c r="AJ4046" s="93"/>
    </row>
    <row r="4047" spans="30:36" ht="18">
      <c r="AD4047" s="93"/>
      <c r="AE4047" s="214"/>
      <c r="AF4047" s="93"/>
      <c r="AG4047" s="93"/>
      <c r="AH4047" s="93"/>
      <c r="AI4047" s="93"/>
      <c r="AJ4047" s="93"/>
    </row>
    <row r="4048" spans="30:36" ht="18">
      <c r="AD4048" s="93"/>
      <c r="AE4048" s="214"/>
      <c r="AF4048" s="93"/>
      <c r="AG4048" s="93"/>
      <c r="AH4048" s="93"/>
      <c r="AI4048" s="93"/>
      <c r="AJ4048" s="93"/>
    </row>
    <row r="4049" spans="30:36" ht="18">
      <c r="AD4049" s="93"/>
      <c r="AE4049" s="215"/>
      <c r="AF4049" s="93"/>
      <c r="AG4049" s="93"/>
      <c r="AH4049" s="93"/>
      <c r="AI4049" s="93"/>
      <c r="AJ4049" s="93"/>
    </row>
    <row r="4050" spans="30:36" ht="18">
      <c r="AD4050" s="93"/>
      <c r="AE4050" s="214"/>
      <c r="AF4050" s="93"/>
      <c r="AG4050" s="93"/>
      <c r="AH4050" s="93"/>
      <c r="AI4050" s="93"/>
      <c r="AJ4050" s="93"/>
    </row>
    <row r="4051" spans="30:36" ht="18">
      <c r="AD4051" s="93"/>
      <c r="AE4051" s="214"/>
      <c r="AF4051" s="93"/>
      <c r="AG4051" s="93"/>
      <c r="AH4051" s="93"/>
      <c r="AI4051" s="93"/>
      <c r="AJ4051" s="93"/>
    </row>
    <row r="4052" spans="30:36" ht="18">
      <c r="AD4052" s="93"/>
      <c r="AE4052" s="215"/>
      <c r="AF4052" s="93"/>
      <c r="AG4052" s="93"/>
      <c r="AH4052" s="93"/>
      <c r="AI4052" s="93"/>
      <c r="AJ4052" s="93"/>
    </row>
    <row r="4053" spans="30:36" ht="18">
      <c r="AD4053" s="93"/>
      <c r="AE4053" s="214"/>
      <c r="AF4053" s="93"/>
      <c r="AG4053" s="93"/>
      <c r="AH4053" s="93"/>
      <c r="AI4053" s="93"/>
      <c r="AJ4053" s="93"/>
    </row>
    <row r="4054" spans="30:36" ht="18">
      <c r="AD4054" s="93"/>
      <c r="AE4054" s="214"/>
      <c r="AF4054" s="93"/>
      <c r="AG4054" s="93"/>
      <c r="AH4054" s="93"/>
      <c r="AI4054" s="93"/>
      <c r="AJ4054" s="93"/>
    </row>
    <row r="4055" spans="30:36" ht="18">
      <c r="AD4055" s="93"/>
      <c r="AE4055" s="215"/>
      <c r="AF4055" s="93"/>
      <c r="AG4055" s="93"/>
      <c r="AH4055" s="93"/>
      <c r="AI4055" s="93"/>
      <c r="AJ4055" s="93"/>
    </row>
    <row r="4056" spans="30:36" ht="18">
      <c r="AD4056" s="93"/>
      <c r="AE4056" s="214"/>
      <c r="AF4056" s="93"/>
      <c r="AG4056" s="93"/>
      <c r="AH4056" s="93"/>
      <c r="AI4056" s="93"/>
      <c r="AJ4056" s="93"/>
    </row>
    <row r="4057" spans="30:36" ht="18">
      <c r="AD4057" s="93"/>
      <c r="AE4057" s="214"/>
      <c r="AF4057" s="93"/>
      <c r="AG4057" s="93"/>
      <c r="AH4057" s="93"/>
      <c r="AI4057" s="93"/>
      <c r="AJ4057" s="93"/>
    </row>
    <row r="4058" spans="30:36" ht="18">
      <c r="AD4058" s="93"/>
      <c r="AE4058" s="215"/>
      <c r="AF4058" s="93"/>
      <c r="AG4058" s="93"/>
      <c r="AH4058" s="93"/>
      <c r="AI4058" s="93"/>
      <c r="AJ4058" s="93"/>
    </row>
    <row r="4059" spans="30:36" ht="18">
      <c r="AD4059" s="93"/>
      <c r="AE4059" s="214"/>
      <c r="AF4059" s="93"/>
      <c r="AG4059" s="93"/>
      <c r="AH4059" s="93"/>
      <c r="AI4059" s="93"/>
      <c r="AJ4059" s="93"/>
    </row>
    <row r="4060" spans="30:36" ht="18">
      <c r="AD4060" s="93"/>
      <c r="AE4060" s="214"/>
      <c r="AF4060" s="93"/>
      <c r="AG4060" s="93"/>
      <c r="AH4060" s="93"/>
      <c r="AI4060" s="93"/>
      <c r="AJ4060" s="93"/>
    </row>
    <row r="4061" spans="30:36" ht="18">
      <c r="AD4061" s="93"/>
      <c r="AE4061" s="215"/>
      <c r="AF4061" s="93"/>
      <c r="AG4061" s="93"/>
      <c r="AH4061" s="93"/>
      <c r="AI4061" s="93"/>
      <c r="AJ4061" s="93"/>
    </row>
    <row r="4062" spans="30:36" ht="18">
      <c r="AD4062" s="93"/>
      <c r="AE4062" s="214"/>
      <c r="AF4062" s="93"/>
      <c r="AG4062" s="93"/>
      <c r="AH4062" s="93"/>
      <c r="AI4062" s="93"/>
      <c r="AJ4062" s="93"/>
    </row>
    <row r="4063" spans="30:36" ht="18">
      <c r="AD4063" s="93"/>
      <c r="AE4063" s="214"/>
      <c r="AF4063" s="93"/>
      <c r="AG4063" s="93"/>
      <c r="AH4063" s="93"/>
      <c r="AI4063" s="93"/>
      <c r="AJ4063" s="93"/>
    </row>
    <row r="4064" spans="30:36" ht="18">
      <c r="AD4064" s="93"/>
      <c r="AE4064" s="215"/>
      <c r="AF4064" s="93"/>
      <c r="AG4064" s="93"/>
      <c r="AH4064" s="93"/>
      <c r="AI4064" s="93"/>
      <c r="AJ4064" s="93"/>
    </row>
    <row r="4065" spans="30:36" ht="18">
      <c r="AD4065" s="93"/>
      <c r="AE4065" s="214"/>
      <c r="AF4065" s="93"/>
      <c r="AG4065" s="93"/>
      <c r="AH4065" s="93"/>
      <c r="AI4065" s="93"/>
      <c r="AJ4065" s="93"/>
    </row>
    <row r="4066" spans="30:36" ht="18">
      <c r="AD4066" s="93"/>
      <c r="AE4066" s="214"/>
      <c r="AF4066" s="93"/>
      <c r="AG4066" s="93"/>
      <c r="AH4066" s="93"/>
      <c r="AI4066" s="93"/>
      <c r="AJ4066" s="93"/>
    </row>
    <row r="4067" spans="30:36" ht="18">
      <c r="AD4067" s="93"/>
      <c r="AE4067" s="215"/>
      <c r="AF4067" s="93"/>
      <c r="AG4067" s="93"/>
      <c r="AH4067" s="93"/>
      <c r="AI4067" s="93"/>
      <c r="AJ4067" s="93"/>
    </row>
    <row r="4068" spans="30:36" ht="18">
      <c r="AD4068" s="93"/>
      <c r="AE4068" s="214"/>
      <c r="AF4068" s="93"/>
      <c r="AG4068" s="93"/>
      <c r="AH4068" s="93"/>
      <c r="AI4068" s="93"/>
      <c r="AJ4068" s="93"/>
    </row>
    <row r="4069" spans="30:36" ht="18">
      <c r="AD4069" s="93"/>
      <c r="AE4069" s="214"/>
      <c r="AF4069" s="93"/>
      <c r="AG4069" s="93"/>
      <c r="AH4069" s="93"/>
      <c r="AI4069" s="93"/>
      <c r="AJ4069" s="93"/>
    </row>
    <row r="4070" spans="30:36" ht="18">
      <c r="AD4070" s="93"/>
      <c r="AE4070" s="215"/>
      <c r="AF4070" s="93"/>
      <c r="AG4070" s="93"/>
      <c r="AH4070" s="93"/>
      <c r="AI4070" s="93"/>
      <c r="AJ4070" s="93"/>
    </row>
    <row r="4071" spans="30:36" ht="18">
      <c r="AD4071" s="93"/>
      <c r="AE4071" s="214"/>
      <c r="AF4071" s="93"/>
      <c r="AG4071" s="93"/>
      <c r="AH4071" s="93"/>
      <c r="AI4071" s="93"/>
      <c r="AJ4071" s="93"/>
    </row>
    <row r="4072" spans="30:36" ht="18">
      <c r="AD4072" s="93"/>
      <c r="AE4072" s="214"/>
      <c r="AF4072" s="93"/>
      <c r="AG4072" s="93"/>
      <c r="AH4072" s="93"/>
      <c r="AI4072" s="93"/>
      <c r="AJ4072" s="93"/>
    </row>
    <row r="4073" spans="30:36" ht="18">
      <c r="AD4073" s="93"/>
      <c r="AE4073" s="215"/>
      <c r="AF4073" s="93"/>
      <c r="AG4073" s="93"/>
      <c r="AH4073" s="93"/>
      <c r="AI4073" s="93"/>
      <c r="AJ4073" s="93"/>
    </row>
    <row r="4074" spans="30:36" ht="18">
      <c r="AD4074" s="93"/>
      <c r="AE4074" s="214"/>
      <c r="AF4074" s="93"/>
      <c r="AG4074" s="93"/>
      <c r="AH4074" s="93"/>
      <c r="AI4074" s="93"/>
      <c r="AJ4074" s="93"/>
    </row>
    <row r="4075" spans="30:36" ht="18">
      <c r="AD4075" s="93"/>
      <c r="AE4075" s="214"/>
      <c r="AF4075" s="93"/>
      <c r="AG4075" s="93"/>
      <c r="AH4075" s="93"/>
      <c r="AI4075" s="93"/>
      <c r="AJ4075" s="93"/>
    </row>
    <row r="4076" spans="30:36" ht="18">
      <c r="AD4076" s="93"/>
      <c r="AE4076" s="215"/>
      <c r="AF4076" s="93"/>
      <c r="AG4076" s="93"/>
      <c r="AH4076" s="93"/>
      <c r="AI4076" s="93"/>
      <c r="AJ4076" s="93"/>
    </row>
    <row r="4077" spans="30:36" ht="18">
      <c r="AD4077" s="93"/>
      <c r="AE4077" s="214"/>
      <c r="AF4077" s="93"/>
      <c r="AG4077" s="93"/>
      <c r="AH4077" s="93"/>
      <c r="AI4077" s="93"/>
      <c r="AJ4077" s="93"/>
    </row>
    <row r="4078" spans="30:36" ht="18">
      <c r="AD4078" s="93"/>
      <c r="AE4078" s="214"/>
      <c r="AF4078" s="93"/>
      <c r="AG4078" s="93"/>
      <c r="AH4078" s="93"/>
      <c r="AI4078" s="93"/>
      <c r="AJ4078" s="93"/>
    </row>
    <row r="4079" spans="30:36" ht="18">
      <c r="AD4079" s="93"/>
      <c r="AE4079" s="215"/>
      <c r="AF4079" s="93"/>
      <c r="AG4079" s="93"/>
      <c r="AH4079" s="93"/>
      <c r="AI4079" s="93"/>
      <c r="AJ4079" s="93"/>
    </row>
    <row r="4080" spans="30:36" ht="18">
      <c r="AD4080" s="93"/>
      <c r="AE4080" s="214"/>
      <c r="AF4080" s="93"/>
      <c r="AG4080" s="93"/>
      <c r="AH4080" s="93"/>
      <c r="AI4080" s="93"/>
      <c r="AJ4080" s="93"/>
    </row>
    <row r="4081" spans="30:36" ht="18">
      <c r="AD4081" s="93"/>
      <c r="AE4081" s="214"/>
      <c r="AF4081" s="93"/>
      <c r="AG4081" s="93"/>
      <c r="AH4081" s="93"/>
      <c r="AI4081" s="93"/>
      <c r="AJ4081" s="93"/>
    </row>
    <row r="4082" spans="30:36" ht="18">
      <c r="AD4082" s="93"/>
      <c r="AE4082" s="215"/>
      <c r="AF4082" s="93"/>
      <c r="AG4082" s="93"/>
      <c r="AH4082" s="93"/>
      <c r="AI4082" s="93"/>
      <c r="AJ4082" s="93"/>
    </row>
    <row r="4083" spans="30:36" ht="18">
      <c r="AD4083" s="93"/>
      <c r="AE4083" s="214"/>
      <c r="AF4083" s="93"/>
      <c r="AG4083" s="93"/>
      <c r="AH4083" s="93"/>
      <c r="AI4083" s="93"/>
      <c r="AJ4083" s="93"/>
    </row>
    <row r="4084" spans="30:36" ht="18">
      <c r="AD4084" s="93"/>
      <c r="AE4084" s="214"/>
      <c r="AF4084" s="93"/>
      <c r="AG4084" s="93"/>
      <c r="AH4084" s="93"/>
      <c r="AI4084" s="93"/>
      <c r="AJ4084" s="93"/>
    </row>
    <row r="4085" spans="30:36" ht="18">
      <c r="AD4085" s="93"/>
      <c r="AE4085" s="215"/>
      <c r="AF4085" s="93"/>
      <c r="AG4085" s="93"/>
      <c r="AH4085" s="93"/>
      <c r="AI4085" s="93"/>
      <c r="AJ4085" s="93"/>
    </row>
    <row r="4086" spans="30:36" ht="18">
      <c r="AD4086" s="93"/>
      <c r="AE4086" s="214"/>
      <c r="AF4086" s="93"/>
      <c r="AG4086" s="93"/>
      <c r="AH4086" s="93"/>
      <c r="AI4086" s="93"/>
      <c r="AJ4086" s="93"/>
    </row>
    <row r="4087" spans="30:36" ht="18">
      <c r="AD4087" s="93"/>
      <c r="AE4087" s="214"/>
      <c r="AF4087" s="93"/>
      <c r="AG4087" s="93"/>
      <c r="AH4087" s="93"/>
      <c r="AI4087" s="93"/>
      <c r="AJ4087" s="93"/>
    </row>
    <row r="4088" spans="30:36" ht="18">
      <c r="AD4088" s="93"/>
      <c r="AE4088" s="215"/>
      <c r="AF4088" s="93"/>
      <c r="AG4088" s="93"/>
      <c r="AH4088" s="93"/>
      <c r="AI4088" s="93"/>
      <c r="AJ4088" s="93"/>
    </row>
    <row r="4089" spans="30:36" ht="18">
      <c r="AD4089" s="93"/>
      <c r="AE4089" s="214"/>
      <c r="AF4089" s="93"/>
      <c r="AG4089" s="93"/>
      <c r="AH4089" s="93"/>
      <c r="AI4089" s="93"/>
      <c r="AJ4089" s="93"/>
    </row>
    <row r="4090" spans="30:36" ht="18">
      <c r="AD4090" s="93"/>
      <c r="AE4090" s="214"/>
      <c r="AF4090" s="93"/>
      <c r="AG4090" s="93"/>
      <c r="AH4090" s="93"/>
      <c r="AI4090" s="93"/>
      <c r="AJ4090" s="93"/>
    </row>
    <row r="4091" spans="30:36" ht="18">
      <c r="AD4091" s="93"/>
      <c r="AE4091" s="214"/>
      <c r="AF4091" s="93"/>
      <c r="AG4091" s="93"/>
      <c r="AH4091" s="93"/>
      <c r="AI4091" s="93"/>
      <c r="AJ4091" s="93"/>
    </row>
    <row r="4092" spans="30:36" ht="18">
      <c r="AD4092" s="93"/>
      <c r="AE4092" s="214"/>
      <c r="AF4092" s="93"/>
      <c r="AG4092" s="93"/>
      <c r="AH4092" s="93"/>
      <c r="AI4092" s="93"/>
      <c r="AJ4092" s="93"/>
    </row>
    <row r="4093" spans="30:36" ht="18">
      <c r="AD4093" s="93"/>
      <c r="AE4093" s="214"/>
      <c r="AF4093" s="93"/>
      <c r="AG4093" s="93"/>
      <c r="AH4093" s="93"/>
      <c r="AI4093" s="93"/>
      <c r="AJ4093" s="93"/>
    </row>
    <row r="4094" spans="30:36" ht="18">
      <c r="AD4094" s="93"/>
      <c r="AE4094" s="215"/>
      <c r="AF4094" s="93"/>
      <c r="AG4094" s="93"/>
      <c r="AH4094" s="93"/>
      <c r="AI4094" s="93"/>
      <c r="AJ4094" s="93"/>
    </row>
    <row r="4095" spans="30:36" ht="18">
      <c r="AD4095" s="93"/>
      <c r="AE4095" s="214"/>
      <c r="AF4095" s="93"/>
      <c r="AG4095" s="93"/>
      <c r="AH4095" s="93"/>
      <c r="AI4095" s="93"/>
      <c r="AJ4095" s="93"/>
    </row>
    <row r="4096" spans="30:36" ht="18">
      <c r="AD4096" s="93"/>
      <c r="AE4096" s="214"/>
      <c r="AF4096" s="93"/>
      <c r="AG4096" s="93"/>
      <c r="AH4096" s="93"/>
      <c r="AI4096" s="93"/>
      <c r="AJ4096" s="93"/>
    </row>
    <row r="4097" spans="30:36" ht="18">
      <c r="AD4097" s="93"/>
      <c r="AE4097" s="215"/>
      <c r="AF4097" s="93"/>
      <c r="AG4097" s="93"/>
      <c r="AH4097" s="93"/>
      <c r="AI4097" s="93"/>
      <c r="AJ4097" s="93"/>
    </row>
    <row r="4098" spans="30:36" ht="18">
      <c r="AD4098" s="93"/>
      <c r="AE4098" s="214"/>
      <c r="AF4098" s="93"/>
      <c r="AG4098" s="93"/>
      <c r="AH4098" s="93"/>
      <c r="AI4098" s="93"/>
      <c r="AJ4098" s="93"/>
    </row>
    <row r="4099" spans="30:36" ht="18">
      <c r="AD4099" s="93"/>
      <c r="AE4099" s="214"/>
      <c r="AF4099" s="93"/>
      <c r="AG4099" s="93"/>
      <c r="AH4099" s="93"/>
      <c r="AI4099" s="93"/>
      <c r="AJ4099" s="93"/>
    </row>
    <row r="4100" spans="30:36" ht="18">
      <c r="AD4100" s="93"/>
      <c r="AE4100" s="215"/>
      <c r="AF4100" s="93"/>
      <c r="AG4100" s="93"/>
      <c r="AH4100" s="93"/>
      <c r="AI4100" s="93"/>
      <c r="AJ4100" s="93"/>
    </row>
    <row r="4101" spans="30:36" ht="18">
      <c r="AD4101" s="93"/>
      <c r="AE4101" s="214"/>
      <c r="AF4101" s="93"/>
      <c r="AG4101" s="93"/>
      <c r="AH4101" s="93"/>
      <c r="AI4101" s="93"/>
      <c r="AJ4101" s="93"/>
    </row>
    <row r="4102" spans="30:36" ht="18">
      <c r="AD4102" s="93"/>
      <c r="AE4102" s="214"/>
      <c r="AF4102" s="93"/>
      <c r="AG4102" s="93"/>
      <c r="AH4102" s="93"/>
      <c r="AI4102" s="93"/>
      <c r="AJ4102" s="93"/>
    </row>
    <row r="4103" spans="30:36" ht="18">
      <c r="AD4103" s="93"/>
      <c r="AE4103" s="215"/>
      <c r="AF4103" s="93"/>
      <c r="AG4103" s="93"/>
      <c r="AH4103" s="93"/>
      <c r="AI4103" s="93"/>
      <c r="AJ4103" s="93"/>
    </row>
    <row r="4104" spans="30:36" ht="18">
      <c r="AD4104" s="93"/>
      <c r="AE4104" s="214"/>
      <c r="AF4104" s="93"/>
      <c r="AG4104" s="93"/>
      <c r="AH4104" s="93"/>
      <c r="AI4104" s="93"/>
      <c r="AJ4104" s="93"/>
    </row>
    <row r="4105" spans="30:36" ht="18">
      <c r="AD4105" s="93"/>
      <c r="AE4105" s="214"/>
      <c r="AF4105" s="93"/>
      <c r="AG4105" s="93"/>
      <c r="AH4105" s="93"/>
      <c r="AI4105" s="93"/>
      <c r="AJ4105" s="93"/>
    </row>
    <row r="4106" spans="30:36" ht="18">
      <c r="AD4106" s="93"/>
      <c r="AE4106" s="215"/>
      <c r="AF4106" s="93"/>
      <c r="AG4106" s="93"/>
      <c r="AH4106" s="93"/>
      <c r="AI4106" s="93"/>
      <c r="AJ4106" s="93"/>
    </row>
    <row r="4107" spans="30:36" ht="18">
      <c r="AD4107" s="93"/>
      <c r="AE4107" s="215"/>
      <c r="AF4107" s="93"/>
      <c r="AG4107" s="93"/>
      <c r="AH4107" s="93"/>
      <c r="AI4107" s="93"/>
      <c r="AJ4107" s="93"/>
    </row>
    <row r="4108" spans="30:36" ht="18">
      <c r="AD4108" s="93"/>
      <c r="AE4108" s="214"/>
      <c r="AF4108" s="93"/>
      <c r="AG4108" s="93"/>
      <c r="AH4108" s="93"/>
      <c r="AI4108" s="93"/>
      <c r="AJ4108" s="93"/>
    </row>
    <row r="4109" spans="30:36" ht="18">
      <c r="AD4109" s="93"/>
      <c r="AE4109" s="214"/>
      <c r="AF4109" s="93"/>
      <c r="AG4109" s="93"/>
      <c r="AH4109" s="93"/>
      <c r="AI4109" s="93"/>
      <c r="AJ4109" s="93"/>
    </row>
    <row r="4110" spans="30:36" ht="18">
      <c r="AD4110" s="93"/>
      <c r="AE4110" s="215"/>
      <c r="AF4110" s="93"/>
      <c r="AG4110" s="93"/>
      <c r="AH4110" s="93"/>
      <c r="AI4110" s="93"/>
      <c r="AJ4110" s="93"/>
    </row>
    <row r="4111" spans="30:36" ht="18">
      <c r="AD4111" s="93"/>
      <c r="AE4111" s="214"/>
      <c r="AF4111" s="93"/>
      <c r="AG4111" s="93"/>
      <c r="AH4111" s="93"/>
      <c r="AI4111" s="93"/>
      <c r="AJ4111" s="93"/>
    </row>
    <row r="4112" spans="30:36" ht="18">
      <c r="AD4112" s="93"/>
      <c r="AE4112" s="214"/>
      <c r="AF4112" s="93"/>
      <c r="AG4112" s="93"/>
      <c r="AH4112" s="93"/>
      <c r="AI4112" s="93"/>
      <c r="AJ4112" s="93"/>
    </row>
    <row r="4113" spans="30:36" ht="18">
      <c r="AD4113" s="93"/>
      <c r="AE4113" s="215"/>
      <c r="AF4113" s="93"/>
      <c r="AG4113" s="93"/>
      <c r="AH4113" s="93"/>
      <c r="AI4113" s="93"/>
      <c r="AJ4113" s="93"/>
    </row>
    <row r="4114" spans="30:36" ht="18">
      <c r="AD4114" s="93"/>
      <c r="AE4114" s="214"/>
      <c r="AF4114" s="93"/>
      <c r="AG4114" s="93"/>
      <c r="AH4114" s="93"/>
      <c r="AI4114" s="93"/>
      <c r="AJ4114" s="93"/>
    </row>
    <row r="4115" spans="30:36" ht="18">
      <c r="AD4115" s="93"/>
      <c r="AE4115" s="214"/>
      <c r="AF4115" s="93"/>
      <c r="AG4115" s="93"/>
      <c r="AH4115" s="93"/>
      <c r="AI4115" s="93"/>
      <c r="AJ4115" s="93"/>
    </row>
    <row r="4116" spans="30:36" ht="18">
      <c r="AD4116" s="93"/>
      <c r="AE4116" s="215"/>
      <c r="AF4116" s="93"/>
      <c r="AG4116" s="93"/>
      <c r="AH4116" s="93"/>
      <c r="AI4116" s="93"/>
      <c r="AJ4116" s="93"/>
    </row>
    <row r="4117" spans="30:36" ht="18">
      <c r="AD4117" s="93"/>
      <c r="AE4117" s="214"/>
      <c r="AF4117" s="93"/>
      <c r="AG4117" s="93"/>
      <c r="AH4117" s="93"/>
      <c r="AI4117" s="93"/>
      <c r="AJ4117" s="93"/>
    </row>
    <row r="4118" spans="30:36" ht="18">
      <c r="AD4118" s="93"/>
      <c r="AE4118" s="214"/>
      <c r="AF4118" s="93"/>
      <c r="AG4118" s="93"/>
      <c r="AH4118" s="93"/>
      <c r="AI4118" s="93"/>
      <c r="AJ4118" s="93"/>
    </row>
    <row r="4119" spans="30:36" ht="18">
      <c r="AD4119" s="93"/>
      <c r="AE4119" s="215"/>
      <c r="AF4119" s="93"/>
      <c r="AG4119" s="93"/>
      <c r="AH4119" s="93"/>
      <c r="AI4119" s="93"/>
      <c r="AJ4119" s="93"/>
    </row>
    <row r="4120" spans="30:36" ht="18">
      <c r="AD4120" s="93"/>
      <c r="AE4120" s="214"/>
      <c r="AF4120" s="93"/>
      <c r="AG4120" s="93"/>
      <c r="AH4120" s="93"/>
      <c r="AI4120" s="93"/>
      <c r="AJ4120" s="93"/>
    </row>
    <row r="4121" spans="30:36" ht="18">
      <c r="AD4121" s="93"/>
      <c r="AE4121" s="214"/>
      <c r="AF4121" s="93"/>
      <c r="AG4121" s="93"/>
      <c r="AH4121" s="93"/>
      <c r="AI4121" s="93"/>
      <c r="AJ4121" s="93"/>
    </row>
    <row r="4122" spans="30:36" ht="18">
      <c r="AD4122" s="93"/>
      <c r="AE4122" s="215"/>
      <c r="AF4122" s="93"/>
      <c r="AG4122" s="93"/>
      <c r="AH4122" s="93"/>
      <c r="AI4122" s="93"/>
      <c r="AJ4122" s="93"/>
    </row>
    <row r="4123" spans="30:36" ht="18">
      <c r="AD4123" s="93"/>
      <c r="AE4123" s="214"/>
      <c r="AF4123" s="93"/>
      <c r="AG4123" s="93"/>
      <c r="AH4123" s="93"/>
      <c r="AI4123" s="93"/>
      <c r="AJ4123" s="93"/>
    </row>
    <row r="4124" spans="30:36" ht="18">
      <c r="AD4124" s="93"/>
      <c r="AE4124" s="214"/>
      <c r="AF4124" s="93"/>
      <c r="AG4124" s="93"/>
      <c r="AH4124" s="93"/>
      <c r="AI4124" s="93"/>
      <c r="AJ4124" s="93"/>
    </row>
    <row r="4125" spans="30:36" ht="18">
      <c r="AD4125" s="93"/>
      <c r="AE4125" s="215"/>
      <c r="AF4125" s="93"/>
      <c r="AG4125" s="93"/>
      <c r="AH4125" s="93"/>
      <c r="AI4125" s="93"/>
      <c r="AJ4125" s="93"/>
    </row>
    <row r="4126" spans="30:36" ht="18">
      <c r="AD4126" s="93"/>
      <c r="AE4126" s="214"/>
      <c r="AF4126" s="93"/>
      <c r="AG4126" s="93"/>
      <c r="AH4126" s="93"/>
      <c r="AI4126" s="93"/>
      <c r="AJ4126" s="93"/>
    </row>
    <row r="4127" spans="30:36" ht="18">
      <c r="AD4127" s="93"/>
      <c r="AE4127" s="214"/>
      <c r="AF4127" s="93"/>
      <c r="AG4127" s="93"/>
      <c r="AH4127" s="93"/>
      <c r="AI4127" s="93"/>
      <c r="AJ4127" s="93"/>
    </row>
    <row r="4128" spans="30:36" ht="18">
      <c r="AD4128" s="93"/>
      <c r="AE4128" s="215"/>
      <c r="AF4128" s="93"/>
      <c r="AG4128" s="93"/>
      <c r="AH4128" s="93"/>
      <c r="AI4128" s="93"/>
      <c r="AJ4128" s="93"/>
    </row>
    <row r="4129" spans="30:36" ht="18">
      <c r="AD4129" s="93"/>
      <c r="AE4129" s="214"/>
      <c r="AF4129" s="93"/>
      <c r="AG4129" s="93"/>
      <c r="AH4129" s="93"/>
      <c r="AI4129" s="93"/>
      <c r="AJ4129" s="93"/>
    </row>
    <row r="4130" spans="30:36" ht="18">
      <c r="AD4130" s="93"/>
      <c r="AE4130" s="214"/>
      <c r="AF4130" s="93"/>
      <c r="AG4130" s="93"/>
      <c r="AH4130" s="93"/>
      <c r="AI4130" s="93"/>
      <c r="AJ4130" s="93"/>
    </row>
    <row r="4131" spans="30:36" ht="18">
      <c r="AD4131" s="93"/>
      <c r="AE4131" s="215"/>
      <c r="AF4131" s="93"/>
      <c r="AG4131" s="93"/>
      <c r="AH4131" s="93"/>
      <c r="AI4131" s="93"/>
      <c r="AJ4131" s="93"/>
    </row>
    <row r="4132" spans="30:36" ht="18">
      <c r="AD4132" s="93"/>
      <c r="AE4132" s="214"/>
      <c r="AF4132" s="93"/>
      <c r="AG4132" s="93"/>
      <c r="AH4132" s="93"/>
      <c r="AI4132" s="93"/>
      <c r="AJ4132" s="93"/>
    </row>
    <row r="4133" spans="30:36" ht="18">
      <c r="AD4133" s="93"/>
      <c r="AE4133" s="214"/>
      <c r="AF4133" s="93"/>
      <c r="AG4133" s="93"/>
      <c r="AH4133" s="93"/>
      <c r="AI4133" s="93"/>
      <c r="AJ4133" s="93"/>
    </row>
    <row r="4134" spans="30:36" ht="18">
      <c r="AD4134" s="93"/>
      <c r="AE4134" s="215"/>
      <c r="AF4134" s="93"/>
      <c r="AG4134" s="93"/>
      <c r="AH4134" s="93"/>
      <c r="AI4134" s="93"/>
      <c r="AJ4134" s="93"/>
    </row>
    <row r="4135" spans="30:36" ht="18">
      <c r="AD4135" s="93"/>
      <c r="AE4135" s="214"/>
      <c r="AF4135" s="93"/>
      <c r="AG4135" s="93"/>
      <c r="AH4135" s="93"/>
      <c r="AI4135" s="93"/>
      <c r="AJ4135" s="93"/>
    </row>
    <row r="4136" spans="30:36" ht="18">
      <c r="AD4136" s="93"/>
      <c r="AE4136" s="214"/>
      <c r="AF4136" s="93"/>
      <c r="AG4136" s="93"/>
      <c r="AH4136" s="93"/>
      <c r="AI4136" s="93"/>
      <c r="AJ4136" s="93"/>
    </row>
    <row r="4137" spans="30:36" ht="18">
      <c r="AD4137" s="93"/>
      <c r="AE4137" s="215"/>
      <c r="AF4137" s="93"/>
      <c r="AG4137" s="93"/>
      <c r="AH4137" s="93"/>
      <c r="AI4137" s="93"/>
      <c r="AJ4137" s="93"/>
    </row>
    <row r="4138" spans="30:36" ht="18">
      <c r="AD4138" s="93"/>
      <c r="AE4138" s="214"/>
      <c r="AF4138" s="93"/>
      <c r="AG4138" s="93"/>
      <c r="AH4138" s="93"/>
      <c r="AI4138" s="93"/>
      <c r="AJ4138" s="93"/>
    </row>
    <row r="4139" spans="30:36" ht="18">
      <c r="AD4139" s="93"/>
      <c r="AE4139" s="214"/>
      <c r="AF4139" s="93"/>
      <c r="AG4139" s="93"/>
      <c r="AH4139" s="93"/>
      <c r="AI4139" s="93"/>
      <c r="AJ4139" s="93"/>
    </row>
    <row r="4140" spans="30:36" ht="18">
      <c r="AD4140" s="93"/>
      <c r="AE4140" s="215"/>
      <c r="AF4140" s="93"/>
      <c r="AG4140" s="93"/>
      <c r="AH4140" s="93"/>
      <c r="AI4140" s="93"/>
      <c r="AJ4140" s="93"/>
    </row>
    <row r="4141" spans="30:36" ht="18">
      <c r="AD4141" s="93"/>
      <c r="AE4141" s="214"/>
      <c r="AF4141" s="93"/>
      <c r="AG4141" s="93"/>
      <c r="AH4141" s="93"/>
      <c r="AI4141" s="93"/>
      <c r="AJ4141" s="93"/>
    </row>
    <row r="4142" spans="30:36" ht="18">
      <c r="AD4142" s="93"/>
      <c r="AE4142" s="214"/>
      <c r="AF4142" s="93"/>
      <c r="AG4142" s="93"/>
      <c r="AH4142" s="93"/>
      <c r="AI4142" s="93"/>
      <c r="AJ4142" s="93"/>
    </row>
    <row r="4143" spans="30:36" ht="18">
      <c r="AD4143" s="93"/>
      <c r="AE4143" s="215"/>
      <c r="AF4143" s="93"/>
      <c r="AG4143" s="93"/>
      <c r="AH4143" s="93"/>
      <c r="AI4143" s="93"/>
      <c r="AJ4143" s="93"/>
    </row>
    <row r="4144" spans="30:36" ht="18">
      <c r="AD4144" s="93"/>
      <c r="AE4144" s="214"/>
      <c r="AF4144" s="93"/>
      <c r="AG4144" s="93"/>
      <c r="AH4144" s="93"/>
      <c r="AI4144" s="93"/>
      <c r="AJ4144" s="93"/>
    </row>
    <row r="4145" spans="30:36" ht="18">
      <c r="AD4145" s="93"/>
      <c r="AE4145" s="214"/>
      <c r="AF4145" s="93"/>
      <c r="AG4145" s="93"/>
      <c r="AH4145" s="93"/>
      <c r="AI4145" s="93"/>
      <c r="AJ4145" s="93"/>
    </row>
    <row r="4146" spans="30:36" ht="18">
      <c r="AD4146" s="93"/>
      <c r="AE4146" s="215"/>
      <c r="AF4146" s="93"/>
      <c r="AG4146" s="93"/>
      <c r="AH4146" s="93"/>
      <c r="AI4146" s="93"/>
      <c r="AJ4146" s="93"/>
    </row>
    <row r="4147" spans="30:36" ht="18">
      <c r="AD4147" s="93"/>
      <c r="AE4147" s="214"/>
      <c r="AF4147" s="93"/>
      <c r="AG4147" s="93"/>
      <c r="AH4147" s="93"/>
      <c r="AI4147" s="93"/>
      <c r="AJ4147" s="93"/>
    </row>
    <row r="4148" spans="30:36" ht="18">
      <c r="AD4148" s="93"/>
      <c r="AE4148" s="214"/>
      <c r="AF4148" s="93"/>
      <c r="AG4148" s="93"/>
      <c r="AH4148" s="93"/>
      <c r="AI4148" s="93"/>
      <c r="AJ4148" s="93"/>
    </row>
    <row r="4149" spans="30:36" ht="18">
      <c r="AD4149" s="93"/>
      <c r="AE4149" s="215"/>
      <c r="AF4149" s="93"/>
      <c r="AG4149" s="93"/>
      <c r="AH4149" s="93"/>
      <c r="AI4149" s="93"/>
      <c r="AJ4149" s="93"/>
    </row>
    <row r="4150" spans="30:36" ht="18">
      <c r="AD4150" s="93"/>
      <c r="AE4150" s="214"/>
      <c r="AF4150" s="93"/>
      <c r="AG4150" s="93"/>
      <c r="AH4150" s="93"/>
      <c r="AI4150" s="93"/>
      <c r="AJ4150" s="93"/>
    </row>
    <row r="4151" spans="30:36" ht="18">
      <c r="AD4151" s="93"/>
      <c r="AE4151" s="214"/>
      <c r="AF4151" s="93"/>
      <c r="AG4151" s="93"/>
      <c r="AH4151" s="93"/>
      <c r="AI4151" s="93"/>
      <c r="AJ4151" s="93"/>
    </row>
    <row r="4152" spans="30:36" ht="18">
      <c r="AD4152" s="93"/>
      <c r="AE4152" s="214"/>
      <c r="AF4152" s="93"/>
      <c r="AG4152" s="93"/>
      <c r="AH4152" s="93"/>
      <c r="AI4152" s="93"/>
      <c r="AJ4152" s="93"/>
    </row>
    <row r="4153" spans="30:36" ht="18">
      <c r="AD4153" s="93"/>
      <c r="AE4153" s="215"/>
      <c r="AF4153" s="93"/>
      <c r="AG4153" s="93"/>
      <c r="AH4153" s="93"/>
      <c r="AI4153" s="93"/>
      <c r="AJ4153" s="93"/>
    </row>
    <row r="4154" spans="30:36" ht="18">
      <c r="AD4154" s="93"/>
      <c r="AE4154" s="215"/>
      <c r="AF4154" s="93"/>
      <c r="AG4154" s="93"/>
      <c r="AH4154" s="93"/>
      <c r="AI4154" s="93"/>
      <c r="AJ4154" s="93"/>
    </row>
    <row r="4155" spans="30:36" ht="18">
      <c r="AD4155" s="93"/>
      <c r="AE4155" s="214"/>
      <c r="AF4155" s="93"/>
      <c r="AG4155" s="93"/>
      <c r="AH4155" s="93"/>
      <c r="AI4155" s="93"/>
      <c r="AJ4155" s="93"/>
    </row>
    <row r="4156" spans="30:36" ht="18">
      <c r="AD4156" s="93"/>
      <c r="AE4156" s="214"/>
      <c r="AF4156" s="93"/>
      <c r="AG4156" s="93"/>
      <c r="AH4156" s="93"/>
      <c r="AI4156" s="93"/>
      <c r="AJ4156" s="93"/>
    </row>
    <row r="4157" spans="30:36" ht="18">
      <c r="AD4157" s="93"/>
      <c r="AE4157" s="214"/>
      <c r="AF4157" s="93"/>
      <c r="AG4157" s="93"/>
      <c r="AH4157" s="93"/>
      <c r="AI4157" s="93"/>
      <c r="AJ4157" s="93"/>
    </row>
    <row r="4158" spans="30:36" ht="18">
      <c r="AD4158" s="93"/>
      <c r="AE4158" s="214"/>
      <c r="AF4158" s="93"/>
      <c r="AG4158" s="93"/>
      <c r="AH4158" s="93"/>
      <c r="AI4158" s="93"/>
      <c r="AJ4158" s="93"/>
    </row>
    <row r="4159" spans="30:36" ht="18">
      <c r="AD4159" s="93"/>
      <c r="AE4159" s="214"/>
      <c r="AF4159" s="93"/>
      <c r="AG4159" s="93"/>
      <c r="AH4159" s="93"/>
      <c r="AI4159" s="93"/>
      <c r="AJ4159" s="93"/>
    </row>
    <row r="4160" spans="30:36" ht="18">
      <c r="AD4160" s="93"/>
      <c r="AE4160" s="214"/>
      <c r="AF4160" s="93"/>
      <c r="AG4160" s="93"/>
      <c r="AH4160" s="93"/>
      <c r="AI4160" s="93"/>
      <c r="AJ4160" s="93"/>
    </row>
    <row r="4161" spans="30:36" ht="18">
      <c r="AD4161" s="93"/>
      <c r="AE4161" s="214"/>
      <c r="AF4161" s="93"/>
      <c r="AG4161" s="93"/>
      <c r="AH4161" s="93"/>
      <c r="AI4161" s="93"/>
      <c r="AJ4161" s="93"/>
    </row>
    <row r="4162" spans="30:36" ht="18">
      <c r="AD4162" s="93"/>
      <c r="AE4162" s="214"/>
      <c r="AF4162" s="93"/>
      <c r="AG4162" s="93"/>
      <c r="AH4162" s="93"/>
      <c r="AI4162" s="93"/>
      <c r="AJ4162" s="93"/>
    </row>
    <row r="4163" spans="30:36" ht="18">
      <c r="AD4163" s="93"/>
      <c r="AE4163" s="214"/>
      <c r="AF4163" s="93"/>
      <c r="AG4163" s="93"/>
      <c r="AH4163" s="93"/>
      <c r="AI4163" s="93"/>
      <c r="AJ4163" s="93"/>
    </row>
    <row r="4164" spans="30:36" ht="18">
      <c r="AD4164" s="93"/>
      <c r="AE4164" s="214"/>
      <c r="AF4164" s="93"/>
      <c r="AG4164" s="93"/>
      <c r="AH4164" s="93"/>
      <c r="AI4164" s="93"/>
      <c r="AJ4164" s="93"/>
    </row>
    <row r="4165" spans="30:36" ht="18">
      <c r="AD4165" s="93"/>
      <c r="AE4165" s="215"/>
      <c r="AF4165" s="93"/>
      <c r="AG4165" s="93"/>
      <c r="AH4165" s="93"/>
      <c r="AI4165" s="93"/>
      <c r="AJ4165" s="93"/>
    </row>
    <row r="4166" spans="30:36" ht="18">
      <c r="AD4166" s="93"/>
      <c r="AE4166" s="214"/>
      <c r="AF4166" s="93"/>
      <c r="AG4166" s="93"/>
      <c r="AH4166" s="93"/>
      <c r="AI4166" s="93"/>
      <c r="AJ4166" s="93"/>
    </row>
    <row r="4167" spans="30:36" ht="18">
      <c r="AD4167" s="93"/>
      <c r="AE4167" s="214"/>
      <c r="AF4167" s="93"/>
      <c r="AG4167" s="93"/>
      <c r="AH4167" s="93"/>
      <c r="AI4167" s="93"/>
      <c r="AJ4167" s="93"/>
    </row>
    <row r="4168" spans="30:36" ht="18">
      <c r="AD4168" s="93"/>
      <c r="AE4168" s="214"/>
      <c r="AF4168" s="93"/>
      <c r="AG4168" s="93"/>
      <c r="AH4168" s="93"/>
      <c r="AI4168" s="93"/>
      <c r="AJ4168" s="93"/>
    </row>
    <row r="4169" spans="30:36" ht="18">
      <c r="AD4169" s="93"/>
      <c r="AE4169" s="214"/>
      <c r="AF4169" s="93"/>
      <c r="AG4169" s="93"/>
      <c r="AH4169" s="93"/>
      <c r="AI4169" s="93"/>
      <c r="AJ4169" s="93"/>
    </row>
    <row r="4170" spans="30:36" ht="18">
      <c r="AD4170" s="93"/>
      <c r="AE4170" s="214"/>
      <c r="AF4170" s="93"/>
      <c r="AG4170" s="93"/>
      <c r="AH4170" s="93"/>
      <c r="AI4170" s="93"/>
      <c r="AJ4170" s="93"/>
    </row>
    <row r="4171" spans="30:36" ht="18">
      <c r="AD4171" s="93"/>
      <c r="AE4171" s="215"/>
      <c r="AF4171" s="93"/>
      <c r="AG4171" s="93"/>
      <c r="AH4171" s="93"/>
      <c r="AI4171" s="93"/>
      <c r="AJ4171" s="93"/>
    </row>
    <row r="4172" spans="30:36" ht="18">
      <c r="AD4172" s="93"/>
      <c r="AE4172" s="214"/>
      <c r="AF4172" s="93"/>
      <c r="AG4172" s="93"/>
      <c r="AH4172" s="93"/>
      <c r="AI4172" s="93"/>
      <c r="AJ4172" s="93"/>
    </row>
    <row r="4173" spans="30:36" ht="18">
      <c r="AD4173" s="93"/>
      <c r="AE4173" s="214"/>
      <c r="AF4173" s="93"/>
      <c r="AG4173" s="93"/>
      <c r="AH4173" s="93"/>
      <c r="AI4173" s="93"/>
      <c r="AJ4173" s="93"/>
    </row>
    <row r="4174" spans="30:36" ht="18">
      <c r="AD4174" s="93"/>
      <c r="AE4174" s="215"/>
      <c r="AF4174" s="93"/>
      <c r="AG4174" s="93"/>
      <c r="AH4174" s="93"/>
      <c r="AI4174" s="93"/>
      <c r="AJ4174" s="93"/>
    </row>
    <row r="4175" spans="30:36" ht="18">
      <c r="AD4175" s="93"/>
      <c r="AE4175" s="214"/>
      <c r="AF4175" s="93"/>
      <c r="AG4175" s="93"/>
      <c r="AH4175" s="93"/>
      <c r="AI4175" s="93"/>
      <c r="AJ4175" s="93"/>
    </row>
    <row r="4176" spans="30:36" ht="18">
      <c r="AD4176" s="93"/>
      <c r="AE4176" s="214"/>
      <c r="AF4176" s="93"/>
      <c r="AG4176" s="93"/>
      <c r="AH4176" s="93"/>
      <c r="AI4176" s="93"/>
      <c r="AJ4176" s="93"/>
    </row>
    <row r="4177" spans="30:36" ht="18">
      <c r="AD4177" s="93"/>
      <c r="AE4177" s="215"/>
      <c r="AF4177" s="93"/>
      <c r="AG4177" s="93"/>
      <c r="AH4177" s="93"/>
      <c r="AI4177" s="93"/>
      <c r="AJ4177" s="93"/>
    </row>
    <row r="4178" spans="30:36" ht="18">
      <c r="AD4178" s="93"/>
      <c r="AE4178" s="214"/>
      <c r="AF4178" s="93"/>
      <c r="AG4178" s="93"/>
      <c r="AH4178" s="93"/>
      <c r="AI4178" s="93"/>
      <c r="AJ4178" s="93"/>
    </row>
    <row r="4179" spans="30:36" ht="18">
      <c r="AD4179" s="93"/>
      <c r="AE4179" s="214"/>
      <c r="AF4179" s="93"/>
      <c r="AG4179" s="93"/>
      <c r="AH4179" s="93"/>
      <c r="AI4179" s="93"/>
      <c r="AJ4179" s="93"/>
    </row>
    <row r="4180" spans="30:36" ht="18">
      <c r="AD4180" s="93"/>
      <c r="AE4180" s="215"/>
      <c r="AF4180" s="93"/>
      <c r="AG4180" s="93"/>
      <c r="AH4180" s="93"/>
      <c r="AI4180" s="93"/>
      <c r="AJ4180" s="93"/>
    </row>
    <row r="4181" spans="30:36" ht="18">
      <c r="AD4181" s="93"/>
      <c r="AE4181" s="214"/>
      <c r="AF4181" s="93"/>
      <c r="AG4181" s="93"/>
      <c r="AH4181" s="93"/>
      <c r="AI4181" s="93"/>
      <c r="AJ4181" s="93"/>
    </row>
    <row r="4182" spans="30:36" ht="18">
      <c r="AD4182" s="93"/>
      <c r="AE4182" s="214"/>
      <c r="AF4182" s="93"/>
      <c r="AG4182" s="93"/>
      <c r="AH4182" s="93"/>
      <c r="AI4182" s="93"/>
      <c r="AJ4182" s="93"/>
    </row>
    <row r="4183" spans="30:36" ht="18">
      <c r="AD4183" s="93"/>
      <c r="AE4183" s="215"/>
      <c r="AF4183" s="93"/>
      <c r="AG4183" s="93"/>
      <c r="AH4183" s="93"/>
      <c r="AI4183" s="93"/>
      <c r="AJ4183" s="93"/>
    </row>
    <row r="4184" spans="30:36" ht="18">
      <c r="AD4184" s="93"/>
      <c r="AE4184" s="215"/>
      <c r="AF4184" s="93"/>
      <c r="AG4184" s="93"/>
      <c r="AH4184" s="93"/>
      <c r="AI4184" s="93"/>
      <c r="AJ4184" s="93"/>
    </row>
    <row r="4185" spans="30:36" ht="18">
      <c r="AD4185" s="93"/>
      <c r="AE4185" s="214"/>
      <c r="AF4185" s="93"/>
      <c r="AG4185" s="93"/>
      <c r="AH4185" s="93"/>
      <c r="AI4185" s="93"/>
      <c r="AJ4185" s="93"/>
    </row>
    <row r="4186" spans="30:36" ht="18">
      <c r="AD4186" s="93"/>
      <c r="AE4186" s="214"/>
      <c r="AF4186" s="93"/>
      <c r="AG4186" s="93"/>
      <c r="AH4186" s="93"/>
      <c r="AI4186" s="93"/>
      <c r="AJ4186" s="93"/>
    </row>
    <row r="4187" spans="30:36" ht="18">
      <c r="AD4187" s="93"/>
      <c r="AE4187" s="215"/>
      <c r="AF4187" s="93"/>
      <c r="AG4187" s="93"/>
      <c r="AH4187" s="93"/>
      <c r="AI4187" s="93"/>
      <c r="AJ4187" s="93"/>
    </row>
    <row r="4188" spans="30:36" ht="18">
      <c r="AD4188" s="93"/>
      <c r="AE4188" s="214"/>
      <c r="AF4188" s="93"/>
      <c r="AG4188" s="93"/>
      <c r="AH4188" s="93"/>
      <c r="AI4188" s="93"/>
      <c r="AJ4188" s="93"/>
    </row>
    <row r="4189" spans="30:36" ht="18">
      <c r="AD4189" s="93"/>
      <c r="AE4189" s="214"/>
      <c r="AF4189" s="93"/>
      <c r="AG4189" s="93"/>
      <c r="AH4189" s="93"/>
      <c r="AI4189" s="93"/>
      <c r="AJ4189" s="93"/>
    </row>
    <row r="4190" spans="30:36" ht="18">
      <c r="AD4190" s="93"/>
      <c r="AE4190" s="214"/>
      <c r="AF4190" s="93"/>
      <c r="AG4190" s="93"/>
      <c r="AH4190" s="93"/>
      <c r="AI4190" s="93"/>
      <c r="AJ4190" s="93"/>
    </row>
    <row r="4191" spans="30:36" ht="18">
      <c r="AD4191" s="93"/>
      <c r="AE4191" s="214"/>
      <c r="AF4191" s="93"/>
      <c r="AG4191" s="93"/>
      <c r="AH4191" s="93"/>
      <c r="AI4191" s="93"/>
      <c r="AJ4191" s="93"/>
    </row>
    <row r="4192" spans="30:36" ht="18">
      <c r="AD4192" s="93"/>
      <c r="AE4192" s="214"/>
      <c r="AF4192" s="93"/>
      <c r="AG4192" s="93"/>
      <c r="AH4192" s="93"/>
      <c r="AI4192" s="93"/>
      <c r="AJ4192" s="93"/>
    </row>
    <row r="4193" spans="30:36" ht="18">
      <c r="AD4193" s="93"/>
      <c r="AE4193" s="215"/>
      <c r="AF4193" s="93"/>
      <c r="AG4193" s="93"/>
      <c r="AH4193" s="93"/>
      <c r="AI4193" s="93"/>
      <c r="AJ4193" s="93"/>
    </row>
    <row r="4194" spans="30:36" ht="18">
      <c r="AD4194" s="93"/>
      <c r="AE4194" s="215"/>
      <c r="AF4194" s="93"/>
      <c r="AG4194" s="93"/>
      <c r="AH4194" s="93"/>
      <c r="AI4194" s="93"/>
      <c r="AJ4194" s="93"/>
    </row>
    <row r="4195" spans="30:36" ht="18">
      <c r="AD4195" s="93"/>
      <c r="AE4195" s="214"/>
      <c r="AF4195" s="93"/>
      <c r="AG4195" s="93"/>
      <c r="AH4195" s="93"/>
      <c r="AI4195" s="93"/>
      <c r="AJ4195" s="93"/>
    </row>
    <row r="4196" spans="30:36" ht="18">
      <c r="AD4196" s="93"/>
      <c r="AE4196" s="214"/>
      <c r="AF4196" s="93"/>
      <c r="AG4196" s="93"/>
      <c r="AH4196" s="93"/>
      <c r="AI4196" s="93"/>
      <c r="AJ4196" s="93"/>
    </row>
    <row r="4197" spans="30:36" ht="18">
      <c r="AD4197" s="93"/>
      <c r="AE4197" s="214"/>
      <c r="AF4197" s="93"/>
      <c r="AG4197" s="93"/>
      <c r="AH4197" s="93"/>
      <c r="AI4197" s="93"/>
      <c r="AJ4197" s="93"/>
    </row>
    <row r="4198" spans="30:36" ht="18">
      <c r="AD4198" s="93"/>
      <c r="AE4198" s="214"/>
      <c r="AF4198" s="93"/>
      <c r="AG4198" s="93"/>
      <c r="AH4198" s="93"/>
      <c r="AI4198" s="93"/>
      <c r="AJ4198" s="93"/>
    </row>
    <row r="4199" spans="30:36" ht="18">
      <c r="AD4199" s="93"/>
      <c r="AE4199" s="214"/>
      <c r="AF4199" s="93"/>
      <c r="AG4199" s="93"/>
      <c r="AH4199" s="93"/>
      <c r="AI4199" s="93"/>
      <c r="AJ4199" s="93"/>
    </row>
    <row r="4200" spans="30:36" ht="18">
      <c r="AD4200" s="93"/>
      <c r="AE4200" s="214"/>
      <c r="AF4200" s="93"/>
      <c r="AG4200" s="93"/>
      <c r="AH4200" s="93"/>
      <c r="AI4200" s="93"/>
      <c r="AJ4200" s="93"/>
    </row>
    <row r="4201" spans="30:36" ht="18">
      <c r="AD4201" s="93"/>
      <c r="AE4201" s="214"/>
      <c r="AF4201" s="93"/>
      <c r="AG4201" s="93"/>
      <c r="AH4201" s="93"/>
      <c r="AI4201" s="93"/>
      <c r="AJ4201" s="93"/>
    </row>
    <row r="4202" spans="30:36" ht="18">
      <c r="AD4202" s="93"/>
      <c r="AE4202" s="214"/>
      <c r="AF4202" s="93"/>
      <c r="AG4202" s="93"/>
      <c r="AH4202" s="93"/>
      <c r="AI4202" s="93"/>
      <c r="AJ4202" s="93"/>
    </row>
    <row r="4203" spans="30:36" ht="18">
      <c r="AD4203" s="93"/>
      <c r="AE4203" s="214"/>
      <c r="AF4203" s="93"/>
      <c r="AG4203" s="93"/>
      <c r="AH4203" s="93"/>
      <c r="AI4203" s="93"/>
      <c r="AJ4203" s="93"/>
    </row>
    <row r="4204" spans="30:36" ht="18">
      <c r="AD4204" s="93"/>
      <c r="AE4204" s="215"/>
      <c r="AF4204" s="93"/>
      <c r="AG4204" s="93"/>
      <c r="AH4204" s="93"/>
      <c r="AI4204" s="93"/>
      <c r="AJ4204" s="93"/>
    </row>
    <row r="4205" spans="30:36" ht="18">
      <c r="AD4205" s="93"/>
      <c r="AE4205" s="215"/>
      <c r="AF4205" s="93"/>
      <c r="AG4205" s="93"/>
      <c r="AH4205" s="93"/>
      <c r="AI4205" s="93"/>
      <c r="AJ4205" s="93"/>
    </row>
    <row r="4206" spans="30:36" ht="18">
      <c r="AD4206" s="93"/>
      <c r="AE4206" s="214"/>
      <c r="AF4206" s="93"/>
      <c r="AG4206" s="93"/>
      <c r="AH4206" s="93"/>
      <c r="AI4206" s="93"/>
      <c r="AJ4206" s="93"/>
    </row>
    <row r="4207" spans="30:36" ht="18">
      <c r="AD4207" s="93"/>
      <c r="AE4207" s="214"/>
      <c r="AF4207" s="93"/>
      <c r="AG4207" s="93"/>
      <c r="AH4207" s="93"/>
      <c r="AI4207" s="93"/>
      <c r="AJ4207" s="93"/>
    </row>
    <row r="4208" spans="30:36" ht="18">
      <c r="AD4208" s="93"/>
      <c r="AE4208" s="214"/>
      <c r="AF4208" s="93"/>
      <c r="AG4208" s="93"/>
      <c r="AH4208" s="93"/>
      <c r="AI4208" s="93"/>
      <c r="AJ4208" s="93"/>
    </row>
    <row r="4209" spans="30:36" ht="18">
      <c r="AD4209" s="93"/>
      <c r="AE4209" s="214"/>
      <c r="AF4209" s="93"/>
      <c r="AG4209" s="93"/>
      <c r="AH4209" s="93"/>
      <c r="AI4209" s="93"/>
      <c r="AJ4209" s="93"/>
    </row>
    <row r="4210" spans="30:36" ht="18">
      <c r="AD4210" s="93"/>
      <c r="AE4210" s="215"/>
      <c r="AF4210" s="93"/>
      <c r="AG4210" s="93"/>
      <c r="AH4210" s="93"/>
      <c r="AI4210" s="93"/>
      <c r="AJ4210" s="93"/>
    </row>
    <row r="4211" spans="30:36" ht="18">
      <c r="AD4211" s="93"/>
      <c r="AE4211" s="215"/>
      <c r="AF4211" s="93"/>
      <c r="AG4211" s="93"/>
      <c r="AH4211" s="93"/>
      <c r="AI4211" s="93"/>
      <c r="AJ4211" s="93"/>
    </row>
    <row r="4212" spans="30:36" ht="18">
      <c r="AD4212" s="93"/>
      <c r="AE4212" s="214"/>
      <c r="AF4212" s="93"/>
      <c r="AG4212" s="93"/>
      <c r="AH4212" s="93"/>
      <c r="AI4212" s="93"/>
      <c r="AJ4212" s="93"/>
    </row>
    <row r="4213" spans="30:36" ht="18">
      <c r="AD4213" s="93"/>
      <c r="AE4213" s="214"/>
      <c r="AF4213" s="93"/>
      <c r="AG4213" s="93"/>
      <c r="AH4213" s="93"/>
      <c r="AI4213" s="93"/>
      <c r="AJ4213" s="93"/>
    </row>
    <row r="4214" spans="30:36" ht="18">
      <c r="AD4214" s="93"/>
      <c r="AE4214" s="214"/>
      <c r="AF4214" s="93"/>
      <c r="AG4214" s="93"/>
      <c r="AH4214" s="93"/>
      <c r="AI4214" s="93"/>
      <c r="AJ4214" s="93"/>
    </row>
    <row r="4215" spans="30:36" ht="18">
      <c r="AD4215" s="93"/>
      <c r="AE4215" s="215"/>
      <c r="AF4215" s="93"/>
      <c r="AG4215" s="93"/>
      <c r="AH4215" s="93"/>
      <c r="AI4215" s="93"/>
      <c r="AJ4215" s="93"/>
    </row>
    <row r="4216" spans="30:36" ht="18">
      <c r="AD4216" s="93"/>
      <c r="AE4216" s="214"/>
      <c r="AF4216" s="93"/>
      <c r="AG4216" s="93"/>
      <c r="AH4216" s="93"/>
      <c r="AI4216" s="93"/>
      <c r="AJ4216" s="93"/>
    </row>
    <row r="4217" spans="30:36" ht="18">
      <c r="AD4217" s="93"/>
      <c r="AE4217" s="214"/>
      <c r="AF4217" s="93"/>
      <c r="AG4217" s="93"/>
      <c r="AH4217" s="93"/>
      <c r="AI4217" s="93"/>
      <c r="AJ4217" s="93"/>
    </row>
    <row r="4218" spans="30:36" ht="18">
      <c r="AD4218" s="93"/>
      <c r="AE4218" s="214"/>
      <c r="AF4218" s="93"/>
      <c r="AG4218" s="93"/>
      <c r="AH4218" s="93"/>
      <c r="AI4218" s="93"/>
      <c r="AJ4218" s="93"/>
    </row>
    <row r="4219" spans="30:36" ht="18">
      <c r="AD4219" s="93"/>
      <c r="AE4219" s="215"/>
      <c r="AF4219" s="93"/>
      <c r="AG4219" s="93"/>
      <c r="AH4219" s="93"/>
      <c r="AI4219" s="93"/>
      <c r="AJ4219" s="93"/>
    </row>
    <row r="4220" spans="30:36" ht="18">
      <c r="AD4220" s="93"/>
      <c r="AE4220" s="215"/>
      <c r="AF4220" s="93"/>
      <c r="AG4220" s="93"/>
      <c r="AH4220" s="93"/>
      <c r="AI4220" s="93"/>
      <c r="AJ4220" s="93"/>
    </row>
    <row r="4221" spans="30:36" ht="18">
      <c r="AD4221" s="93"/>
      <c r="AE4221" s="214"/>
      <c r="AF4221" s="93"/>
      <c r="AG4221" s="93"/>
      <c r="AH4221" s="93"/>
      <c r="AI4221" s="93"/>
      <c r="AJ4221" s="93"/>
    </row>
    <row r="4222" spans="30:36" ht="18">
      <c r="AD4222" s="93"/>
      <c r="AE4222" s="214"/>
      <c r="AF4222" s="93"/>
      <c r="AG4222" s="93"/>
      <c r="AH4222" s="93"/>
      <c r="AI4222" s="93"/>
      <c r="AJ4222" s="93"/>
    </row>
    <row r="4223" spans="30:36" ht="18">
      <c r="AD4223" s="93"/>
      <c r="AE4223" s="214"/>
      <c r="AF4223" s="93"/>
      <c r="AG4223" s="93"/>
      <c r="AH4223" s="93"/>
      <c r="AI4223" s="93"/>
      <c r="AJ4223" s="93"/>
    </row>
    <row r="4224" spans="30:36" ht="18">
      <c r="AD4224" s="93"/>
      <c r="AE4224" s="214"/>
      <c r="AF4224" s="93"/>
      <c r="AG4224" s="93"/>
      <c r="AH4224" s="93"/>
      <c r="AI4224" s="93"/>
      <c r="AJ4224" s="93"/>
    </row>
    <row r="4225" spans="30:36" ht="18">
      <c r="AD4225" s="93"/>
      <c r="AE4225" s="215"/>
      <c r="AF4225" s="93"/>
      <c r="AG4225" s="93"/>
      <c r="AH4225" s="93"/>
      <c r="AI4225" s="93"/>
      <c r="AJ4225" s="93"/>
    </row>
    <row r="4226" spans="30:36" ht="18">
      <c r="AD4226" s="93"/>
      <c r="AE4226" s="215"/>
      <c r="AF4226" s="93"/>
      <c r="AG4226" s="93"/>
      <c r="AH4226" s="93"/>
      <c r="AI4226" s="93"/>
      <c r="AJ4226" s="93"/>
    </row>
    <row r="4227" spans="30:36" ht="18">
      <c r="AD4227" s="93"/>
      <c r="AE4227" s="214"/>
      <c r="AF4227" s="93"/>
      <c r="AG4227" s="93"/>
      <c r="AH4227" s="93"/>
      <c r="AI4227" s="93"/>
      <c r="AJ4227" s="93"/>
    </row>
    <row r="4228" spans="30:36" ht="18">
      <c r="AD4228" s="93"/>
      <c r="AE4228" s="214"/>
      <c r="AF4228" s="93"/>
      <c r="AG4228" s="93"/>
      <c r="AH4228" s="93"/>
      <c r="AI4228" s="93"/>
      <c r="AJ4228" s="93"/>
    </row>
    <row r="4229" spans="30:36" ht="18">
      <c r="AD4229" s="93"/>
      <c r="AE4229" s="214"/>
      <c r="AF4229" s="93"/>
      <c r="AG4229" s="93"/>
      <c r="AH4229" s="93"/>
      <c r="AI4229" s="93"/>
      <c r="AJ4229" s="93"/>
    </row>
    <row r="4230" spans="30:36" ht="18">
      <c r="AD4230" s="93"/>
      <c r="AE4230" s="214"/>
      <c r="AF4230" s="93"/>
      <c r="AG4230" s="93"/>
      <c r="AH4230" s="93"/>
      <c r="AI4230" s="93"/>
      <c r="AJ4230" s="93"/>
    </row>
    <row r="4231" spans="30:36" ht="18">
      <c r="AD4231" s="93"/>
      <c r="AE4231" s="214"/>
      <c r="AF4231" s="93"/>
      <c r="AG4231" s="93"/>
      <c r="AH4231" s="93"/>
      <c r="AI4231" s="93"/>
      <c r="AJ4231" s="93"/>
    </row>
    <row r="4232" spans="30:36" ht="18">
      <c r="AD4232" s="93"/>
      <c r="AE4232" s="215"/>
      <c r="AF4232" s="93"/>
      <c r="AG4232" s="93"/>
      <c r="AH4232" s="93"/>
      <c r="AI4232" s="93"/>
      <c r="AJ4232" s="93"/>
    </row>
    <row r="4233" spans="30:36" ht="18">
      <c r="AD4233" s="93"/>
      <c r="AE4233" s="215"/>
      <c r="AF4233" s="93"/>
      <c r="AG4233" s="93"/>
      <c r="AH4233" s="93"/>
      <c r="AI4233" s="93"/>
      <c r="AJ4233" s="93"/>
    </row>
    <row r="4234" spans="30:36" ht="18">
      <c r="AD4234" s="93"/>
      <c r="AE4234" s="215"/>
      <c r="AF4234" s="93"/>
      <c r="AG4234" s="93"/>
      <c r="AH4234" s="93"/>
      <c r="AI4234" s="93"/>
      <c r="AJ4234" s="93"/>
    </row>
    <row r="4235" spans="30:36" ht="18">
      <c r="AD4235" s="93"/>
      <c r="AE4235" s="214"/>
      <c r="AF4235" s="93"/>
      <c r="AG4235" s="93"/>
      <c r="AH4235" s="93"/>
      <c r="AI4235" s="93"/>
      <c r="AJ4235" s="93"/>
    </row>
    <row r="4236" spans="30:36" ht="18">
      <c r="AD4236" s="93"/>
      <c r="AE4236" s="214"/>
      <c r="AF4236" s="93"/>
      <c r="AG4236" s="93"/>
      <c r="AH4236" s="93"/>
      <c r="AI4236" s="93"/>
      <c r="AJ4236" s="93"/>
    </row>
    <row r="4237" spans="30:36" ht="18">
      <c r="AD4237" s="93"/>
      <c r="AE4237" s="215"/>
      <c r="AF4237" s="93"/>
      <c r="AG4237" s="93"/>
      <c r="AH4237" s="93"/>
      <c r="AI4237" s="93"/>
      <c r="AJ4237" s="93"/>
    </row>
    <row r="4238" spans="30:36" ht="18">
      <c r="AD4238" s="93"/>
      <c r="AE4238" s="214"/>
      <c r="AF4238" s="93"/>
      <c r="AG4238" s="93"/>
      <c r="AH4238" s="93"/>
      <c r="AI4238" s="93"/>
      <c r="AJ4238" s="93"/>
    </row>
    <row r="4239" spans="30:36" ht="18">
      <c r="AD4239" s="93"/>
      <c r="AE4239" s="214"/>
      <c r="AF4239" s="93"/>
      <c r="AG4239" s="93"/>
      <c r="AH4239" s="93"/>
      <c r="AI4239" s="93"/>
      <c r="AJ4239" s="93"/>
    </row>
    <row r="4240" spans="30:36" ht="18">
      <c r="AD4240" s="93"/>
      <c r="AE4240" s="214"/>
      <c r="AF4240" s="93"/>
      <c r="AG4240" s="93"/>
      <c r="AH4240" s="93"/>
      <c r="AI4240" s="93"/>
      <c r="AJ4240" s="93"/>
    </row>
    <row r="4241" spans="30:36" ht="18">
      <c r="AD4241" s="93"/>
      <c r="AE4241" s="214"/>
      <c r="AF4241" s="93"/>
      <c r="AG4241" s="93"/>
      <c r="AH4241" s="93"/>
      <c r="AI4241" s="93"/>
      <c r="AJ4241" s="93"/>
    </row>
    <row r="4242" spans="30:36" ht="18">
      <c r="AD4242" s="93"/>
      <c r="AE4242" s="214"/>
      <c r="AF4242" s="93"/>
      <c r="AG4242" s="93"/>
      <c r="AH4242" s="93"/>
      <c r="AI4242" s="93"/>
      <c r="AJ4242" s="93"/>
    </row>
    <row r="4243" spans="30:36" ht="18">
      <c r="AD4243" s="93"/>
      <c r="AE4243" s="214"/>
      <c r="AF4243" s="93"/>
      <c r="AG4243" s="93"/>
      <c r="AH4243" s="93"/>
      <c r="AI4243" s="93"/>
      <c r="AJ4243" s="93"/>
    </row>
    <row r="4244" spans="30:36" ht="18">
      <c r="AD4244" s="93"/>
      <c r="AE4244" s="214"/>
      <c r="AF4244" s="93"/>
      <c r="AG4244" s="93"/>
      <c r="AH4244" s="93"/>
      <c r="AI4244" s="93"/>
      <c r="AJ4244" s="93"/>
    </row>
    <row r="4245" spans="30:36" ht="18">
      <c r="AD4245" s="93"/>
      <c r="AE4245" s="214"/>
      <c r="AF4245" s="93"/>
      <c r="AG4245" s="93"/>
      <c r="AH4245" s="93"/>
      <c r="AI4245" s="93"/>
      <c r="AJ4245" s="93"/>
    </row>
    <row r="4246" spans="30:36" ht="18">
      <c r="AD4246" s="93"/>
      <c r="AE4246" s="214"/>
      <c r="AF4246" s="93"/>
      <c r="AG4246" s="93"/>
      <c r="AH4246" s="93"/>
      <c r="AI4246" s="93"/>
      <c r="AJ4246" s="93"/>
    </row>
    <row r="4247" spans="30:36" ht="18">
      <c r="AD4247" s="93"/>
      <c r="AE4247" s="214"/>
      <c r="AF4247" s="93"/>
      <c r="AG4247" s="93"/>
      <c r="AH4247" s="93"/>
      <c r="AI4247" s="93"/>
      <c r="AJ4247" s="93"/>
    </row>
    <row r="4248" spans="30:36" ht="18">
      <c r="AD4248" s="93"/>
      <c r="AE4248" s="214"/>
      <c r="AF4248" s="93"/>
      <c r="AG4248" s="93"/>
      <c r="AH4248" s="93"/>
      <c r="AI4248" s="93"/>
      <c r="AJ4248" s="93"/>
    </row>
    <row r="4249" spans="30:36" ht="18">
      <c r="AD4249" s="93"/>
      <c r="AE4249" s="214"/>
      <c r="AF4249" s="93"/>
      <c r="AG4249" s="93"/>
      <c r="AH4249" s="93"/>
      <c r="AI4249" s="93"/>
      <c r="AJ4249" s="93"/>
    </row>
    <row r="4250" spans="30:36" ht="18">
      <c r="AD4250" s="93"/>
      <c r="AE4250" s="214"/>
      <c r="AF4250" s="93"/>
      <c r="AG4250" s="93"/>
      <c r="AH4250" s="93"/>
      <c r="AI4250" s="93"/>
      <c r="AJ4250" s="93"/>
    </row>
    <row r="4251" spans="30:36" ht="18">
      <c r="AD4251" s="93"/>
      <c r="AE4251" s="214"/>
      <c r="AF4251" s="93"/>
      <c r="AG4251" s="93"/>
      <c r="AH4251" s="93"/>
      <c r="AI4251" s="93"/>
      <c r="AJ4251" s="93"/>
    </row>
    <row r="4252" spans="30:36" ht="18">
      <c r="AD4252" s="93"/>
      <c r="AE4252" s="214"/>
      <c r="AF4252" s="93"/>
      <c r="AG4252" s="93"/>
      <c r="AH4252" s="93"/>
      <c r="AI4252" s="93"/>
      <c r="AJ4252" s="93"/>
    </row>
    <row r="4253" spans="30:36" ht="18">
      <c r="AD4253" s="93"/>
      <c r="AE4253" s="214"/>
      <c r="AF4253" s="93"/>
      <c r="AG4253" s="93"/>
      <c r="AH4253" s="93"/>
      <c r="AI4253" s="93"/>
      <c r="AJ4253" s="93"/>
    </row>
    <row r="4254" spans="30:36" ht="18">
      <c r="AD4254" s="93"/>
      <c r="AE4254" s="214"/>
      <c r="AF4254" s="93"/>
      <c r="AG4254" s="93"/>
      <c r="AH4254" s="93"/>
      <c r="AI4254" s="93"/>
      <c r="AJ4254" s="93"/>
    </row>
    <row r="4255" spans="30:36" ht="18">
      <c r="AD4255" s="93"/>
      <c r="AE4255" s="214"/>
      <c r="AF4255" s="93"/>
      <c r="AG4255" s="93"/>
      <c r="AH4255" s="93"/>
      <c r="AI4255" s="93"/>
      <c r="AJ4255" s="93"/>
    </row>
    <row r="4256" spans="30:36" ht="18">
      <c r="AD4256" s="93"/>
      <c r="AE4256" s="214"/>
      <c r="AF4256" s="93"/>
      <c r="AG4256" s="93"/>
      <c r="AH4256" s="93"/>
      <c r="AI4256" s="93"/>
      <c r="AJ4256" s="93"/>
    </row>
    <row r="4257" spans="30:36" ht="18">
      <c r="AD4257" s="93"/>
      <c r="AE4257" s="214"/>
      <c r="AF4257" s="93"/>
      <c r="AG4257" s="93"/>
      <c r="AH4257" s="93"/>
      <c r="AI4257" s="93"/>
      <c r="AJ4257" s="93"/>
    </row>
    <row r="4258" spans="30:36" ht="18">
      <c r="AD4258" s="93"/>
      <c r="AE4258" s="214"/>
      <c r="AF4258" s="93"/>
      <c r="AG4258" s="93"/>
      <c r="AH4258" s="93"/>
      <c r="AI4258" s="93"/>
      <c r="AJ4258" s="93"/>
    </row>
    <row r="4259" spans="30:36" ht="18">
      <c r="AD4259" s="93"/>
      <c r="AE4259" s="214"/>
      <c r="AF4259" s="93"/>
      <c r="AG4259" s="93"/>
      <c r="AH4259" s="93"/>
      <c r="AI4259" s="93"/>
      <c r="AJ4259" s="93"/>
    </row>
    <row r="4260" spans="30:36" ht="18">
      <c r="AD4260" s="93"/>
      <c r="AE4260" s="214"/>
      <c r="AF4260" s="93"/>
      <c r="AG4260" s="93"/>
      <c r="AH4260" s="93"/>
      <c r="AI4260" s="93"/>
      <c r="AJ4260" s="93"/>
    </row>
    <row r="4261" spans="30:36" ht="18">
      <c r="AD4261" s="93"/>
      <c r="AE4261" s="215"/>
      <c r="AF4261" s="93"/>
      <c r="AG4261" s="93"/>
      <c r="AH4261" s="93"/>
      <c r="AI4261" s="93"/>
      <c r="AJ4261" s="93"/>
    </row>
    <row r="4262" spans="30:36" ht="18">
      <c r="AD4262" s="93"/>
      <c r="AE4262" s="214"/>
      <c r="AF4262" s="93"/>
      <c r="AG4262" s="93"/>
      <c r="AH4262" s="93"/>
      <c r="AI4262" s="93"/>
      <c r="AJ4262" s="93"/>
    </row>
    <row r="4263" spans="30:36" ht="18">
      <c r="AD4263" s="93"/>
      <c r="AE4263" s="214"/>
      <c r="AF4263" s="93"/>
      <c r="AG4263" s="93"/>
      <c r="AH4263" s="93"/>
      <c r="AI4263" s="93"/>
      <c r="AJ4263" s="93"/>
    </row>
    <row r="4264" spans="30:36" ht="18">
      <c r="AD4264" s="93"/>
      <c r="AE4264" s="214"/>
      <c r="AF4264" s="93"/>
      <c r="AG4264" s="93"/>
      <c r="AH4264" s="93"/>
      <c r="AI4264" s="93"/>
      <c r="AJ4264" s="93"/>
    </row>
    <row r="4265" spans="30:36" ht="18">
      <c r="AD4265" s="93"/>
      <c r="AE4265" s="215"/>
      <c r="AF4265" s="93"/>
      <c r="AG4265" s="93"/>
      <c r="AH4265" s="93"/>
      <c r="AI4265" s="93"/>
      <c r="AJ4265" s="93"/>
    </row>
    <row r="4266" spans="30:36" ht="18">
      <c r="AD4266" s="93"/>
      <c r="AE4266" s="214"/>
      <c r="AF4266" s="93"/>
      <c r="AG4266" s="93"/>
      <c r="AH4266" s="93"/>
      <c r="AI4266" s="93"/>
      <c r="AJ4266" s="93"/>
    </row>
    <row r="4267" spans="30:36" ht="18">
      <c r="AD4267" s="93"/>
      <c r="AE4267" s="214"/>
      <c r="AF4267" s="93"/>
      <c r="AG4267" s="93"/>
      <c r="AH4267" s="93"/>
      <c r="AI4267" s="93"/>
      <c r="AJ4267" s="93"/>
    </row>
    <row r="4268" spans="30:36" ht="18">
      <c r="AD4268" s="93"/>
      <c r="AE4268" s="214"/>
      <c r="AF4268" s="93"/>
      <c r="AG4268" s="93"/>
      <c r="AH4268" s="93"/>
      <c r="AI4268" s="93"/>
      <c r="AJ4268" s="93"/>
    </row>
    <row r="4269" spans="30:36" ht="18">
      <c r="AD4269" s="93"/>
      <c r="AE4269" s="214"/>
      <c r="AF4269" s="93"/>
      <c r="AG4269" s="93"/>
      <c r="AH4269" s="93"/>
      <c r="AI4269" s="93"/>
      <c r="AJ4269" s="93"/>
    </row>
    <row r="4270" spans="30:36" ht="18">
      <c r="AD4270" s="93"/>
      <c r="AE4270" s="214"/>
      <c r="AF4270" s="93"/>
      <c r="AG4270" s="93"/>
      <c r="AH4270" s="93"/>
      <c r="AI4270" s="93"/>
      <c r="AJ4270" s="93"/>
    </row>
    <row r="4271" spans="30:36" ht="18">
      <c r="AD4271" s="93"/>
      <c r="AE4271" s="214"/>
      <c r="AF4271" s="93"/>
      <c r="AG4271" s="93"/>
      <c r="AH4271" s="93"/>
      <c r="AI4271" s="93"/>
      <c r="AJ4271" s="93"/>
    </row>
    <row r="4272" spans="30:36" ht="18">
      <c r="AD4272" s="93"/>
      <c r="AE4272" s="214"/>
      <c r="AF4272" s="93"/>
      <c r="AG4272" s="93"/>
      <c r="AH4272" s="93"/>
      <c r="AI4272" s="93"/>
      <c r="AJ4272" s="93"/>
    </row>
    <row r="4273" spans="30:36" ht="18">
      <c r="AD4273" s="93"/>
      <c r="AE4273" s="214"/>
      <c r="AF4273" s="93"/>
      <c r="AG4273" s="93"/>
      <c r="AH4273" s="93"/>
      <c r="AI4273" s="93"/>
      <c r="AJ4273" s="93"/>
    </row>
    <row r="4274" spans="30:36" ht="18">
      <c r="AD4274" s="93"/>
      <c r="AE4274" s="214"/>
      <c r="AF4274" s="93"/>
      <c r="AG4274" s="93"/>
      <c r="AH4274" s="93"/>
      <c r="AI4274" s="93"/>
      <c r="AJ4274" s="93"/>
    </row>
    <row r="4275" spans="30:36" ht="18">
      <c r="AD4275" s="93"/>
      <c r="AE4275" s="214"/>
      <c r="AF4275" s="93"/>
      <c r="AG4275" s="93"/>
      <c r="AH4275" s="93"/>
      <c r="AI4275" s="93"/>
      <c r="AJ4275" s="93"/>
    </row>
    <row r="4276" spans="30:36" ht="18">
      <c r="AD4276" s="93"/>
      <c r="AE4276" s="214"/>
      <c r="AF4276" s="93"/>
      <c r="AG4276" s="93"/>
      <c r="AH4276" s="93"/>
      <c r="AI4276" s="93"/>
      <c r="AJ4276" s="93"/>
    </row>
    <row r="4277" spans="30:36" ht="18">
      <c r="AD4277" s="93"/>
      <c r="AE4277" s="214"/>
      <c r="AF4277" s="93"/>
      <c r="AG4277" s="93"/>
      <c r="AH4277" s="93"/>
      <c r="AI4277" s="93"/>
      <c r="AJ4277" s="93"/>
    </row>
    <row r="4278" spans="30:36" ht="18">
      <c r="AD4278" s="93"/>
      <c r="AE4278" s="214"/>
      <c r="AF4278" s="93"/>
      <c r="AG4278" s="93"/>
      <c r="AH4278" s="93"/>
      <c r="AI4278" s="93"/>
      <c r="AJ4278" s="93"/>
    </row>
    <row r="4279" spans="30:36" ht="18">
      <c r="AD4279" s="93"/>
      <c r="AE4279" s="214"/>
      <c r="AF4279" s="93"/>
      <c r="AG4279" s="93"/>
      <c r="AH4279" s="93"/>
      <c r="AI4279" s="93"/>
      <c r="AJ4279" s="93"/>
    </row>
    <row r="4280" spans="30:36" ht="18">
      <c r="AD4280" s="93"/>
      <c r="AE4280" s="214"/>
      <c r="AF4280" s="93"/>
      <c r="AG4280" s="93"/>
      <c r="AH4280" s="93"/>
      <c r="AI4280" s="93"/>
      <c r="AJ4280" s="93"/>
    </row>
    <row r="4281" spans="30:36" ht="18">
      <c r="AD4281" s="93"/>
      <c r="AE4281" s="214"/>
      <c r="AF4281" s="93"/>
      <c r="AG4281" s="93"/>
      <c r="AH4281" s="93"/>
      <c r="AI4281" s="93"/>
      <c r="AJ4281" s="93"/>
    </row>
    <row r="4282" spans="30:36" ht="18">
      <c r="AD4282" s="93"/>
      <c r="AE4282" s="214"/>
      <c r="AF4282" s="93"/>
      <c r="AG4282" s="93"/>
      <c r="AH4282" s="93"/>
      <c r="AI4282" s="93"/>
      <c r="AJ4282" s="93"/>
    </row>
    <row r="4283" spans="30:36" ht="18">
      <c r="AD4283" s="93"/>
      <c r="AE4283" s="214"/>
      <c r="AF4283" s="93"/>
      <c r="AG4283" s="93"/>
      <c r="AH4283" s="93"/>
      <c r="AI4283" s="93"/>
      <c r="AJ4283" s="93"/>
    </row>
    <row r="4284" spans="30:36" ht="18">
      <c r="AD4284" s="93"/>
      <c r="AE4284" s="214"/>
      <c r="AF4284" s="93"/>
      <c r="AG4284" s="93"/>
      <c r="AH4284" s="93"/>
      <c r="AI4284" s="93"/>
      <c r="AJ4284" s="93"/>
    </row>
    <row r="4285" spans="30:36" ht="18">
      <c r="AD4285" s="93"/>
      <c r="AE4285" s="214"/>
      <c r="AF4285" s="93"/>
      <c r="AG4285" s="93"/>
      <c r="AH4285" s="93"/>
      <c r="AI4285" s="93"/>
      <c r="AJ4285" s="93"/>
    </row>
    <row r="4286" spans="30:36" ht="18">
      <c r="AD4286" s="93"/>
      <c r="AE4286" s="214"/>
      <c r="AF4286" s="93"/>
      <c r="AG4286" s="93"/>
      <c r="AH4286" s="93"/>
      <c r="AI4286" s="93"/>
      <c r="AJ4286" s="93"/>
    </row>
    <row r="4287" spans="30:36" ht="18">
      <c r="AD4287" s="93"/>
      <c r="AE4287" s="214"/>
      <c r="AF4287" s="93"/>
      <c r="AG4287" s="93"/>
      <c r="AH4287" s="93"/>
      <c r="AI4287" s="93"/>
      <c r="AJ4287" s="93"/>
    </row>
    <row r="4288" spans="30:36" ht="18">
      <c r="AD4288" s="93"/>
      <c r="AE4288" s="214"/>
      <c r="AF4288" s="93"/>
      <c r="AG4288" s="93"/>
      <c r="AH4288" s="93"/>
      <c r="AI4288" s="93"/>
      <c r="AJ4288" s="93"/>
    </row>
    <row r="4289" spans="30:36" ht="18">
      <c r="AD4289" s="93"/>
      <c r="AE4289" s="214"/>
      <c r="AF4289" s="93"/>
      <c r="AG4289" s="93"/>
      <c r="AH4289" s="93"/>
      <c r="AI4289" s="93"/>
      <c r="AJ4289" s="93"/>
    </row>
    <row r="4290" spans="30:36" ht="18">
      <c r="AD4290" s="93"/>
      <c r="AE4290" s="214"/>
      <c r="AF4290" s="93"/>
      <c r="AG4290" s="93"/>
      <c r="AH4290" s="93"/>
      <c r="AI4290" s="93"/>
      <c r="AJ4290" s="93"/>
    </row>
    <row r="4291" spans="30:36" ht="18">
      <c r="AD4291" s="93"/>
      <c r="AE4291" s="214"/>
      <c r="AF4291" s="93"/>
      <c r="AG4291" s="93"/>
      <c r="AH4291" s="93"/>
      <c r="AI4291" s="93"/>
      <c r="AJ4291" s="93"/>
    </row>
    <row r="4292" spans="30:36" ht="18">
      <c r="AD4292" s="93"/>
      <c r="AE4292" s="214"/>
      <c r="AF4292" s="93"/>
      <c r="AG4292" s="93"/>
      <c r="AH4292" s="93"/>
      <c r="AI4292" s="93"/>
      <c r="AJ4292" s="93"/>
    </row>
    <row r="4293" spans="30:36" ht="18">
      <c r="AD4293" s="93"/>
      <c r="AE4293" s="214"/>
      <c r="AF4293" s="93"/>
      <c r="AG4293" s="93"/>
      <c r="AH4293" s="93"/>
      <c r="AI4293" s="93"/>
      <c r="AJ4293" s="93"/>
    </row>
    <row r="4294" spans="30:36" ht="18">
      <c r="AD4294" s="93"/>
      <c r="AE4294" s="214"/>
      <c r="AF4294" s="93"/>
      <c r="AG4294" s="93"/>
      <c r="AH4294" s="93"/>
      <c r="AI4294" s="93"/>
      <c r="AJ4294" s="93"/>
    </row>
    <row r="4295" spans="30:36" ht="18">
      <c r="AD4295" s="93"/>
      <c r="AE4295" s="214"/>
      <c r="AF4295" s="93"/>
      <c r="AG4295" s="93"/>
      <c r="AH4295" s="93"/>
      <c r="AI4295" s="93"/>
      <c r="AJ4295" s="93"/>
    </row>
    <row r="4296" spans="30:36" ht="18">
      <c r="AD4296" s="93"/>
      <c r="AE4296" s="214"/>
      <c r="AF4296" s="93"/>
      <c r="AG4296" s="93"/>
      <c r="AH4296" s="93"/>
      <c r="AI4296" s="93"/>
      <c r="AJ4296" s="93"/>
    </row>
    <row r="4297" spans="30:36" ht="18">
      <c r="AD4297" s="93"/>
      <c r="AE4297" s="214"/>
      <c r="AF4297" s="93"/>
      <c r="AG4297" s="93"/>
      <c r="AH4297" s="93"/>
      <c r="AI4297" s="93"/>
      <c r="AJ4297" s="93"/>
    </row>
    <row r="4298" spans="30:36" ht="18">
      <c r="AD4298" s="93"/>
      <c r="AE4298" s="215"/>
      <c r="AF4298" s="93"/>
      <c r="AG4298" s="93"/>
      <c r="AH4298" s="93"/>
      <c r="AI4298" s="93"/>
      <c r="AJ4298" s="93"/>
    </row>
    <row r="4299" spans="30:36" ht="18">
      <c r="AD4299" s="93"/>
      <c r="AE4299" s="214"/>
      <c r="AF4299" s="93"/>
      <c r="AG4299" s="93"/>
      <c r="AH4299" s="93"/>
      <c r="AI4299" s="93"/>
      <c r="AJ4299" s="93"/>
    </row>
    <row r="4300" spans="30:36" ht="18">
      <c r="AD4300" s="93"/>
      <c r="AE4300" s="214"/>
      <c r="AF4300" s="93"/>
      <c r="AG4300" s="93"/>
      <c r="AH4300" s="93"/>
      <c r="AI4300" s="93"/>
      <c r="AJ4300" s="93"/>
    </row>
    <row r="4301" spans="30:36" ht="18">
      <c r="AD4301" s="93"/>
      <c r="AE4301" s="214"/>
      <c r="AF4301" s="93"/>
      <c r="AG4301" s="93"/>
      <c r="AH4301" s="93"/>
      <c r="AI4301" s="93"/>
      <c r="AJ4301" s="93"/>
    </row>
    <row r="4302" spans="30:36" ht="18">
      <c r="AD4302" s="93"/>
      <c r="AE4302" s="215"/>
      <c r="AF4302" s="93"/>
      <c r="AG4302" s="93"/>
      <c r="AH4302" s="93"/>
      <c r="AI4302" s="93"/>
      <c r="AJ4302" s="93"/>
    </row>
    <row r="4303" spans="30:36" ht="18">
      <c r="AD4303" s="93"/>
      <c r="AE4303" s="214"/>
      <c r="AF4303" s="93"/>
      <c r="AG4303" s="93"/>
      <c r="AH4303" s="93"/>
      <c r="AI4303" s="93"/>
      <c r="AJ4303" s="93"/>
    </row>
    <row r="4304" spans="30:36" ht="18">
      <c r="AD4304" s="93"/>
      <c r="AE4304" s="214"/>
      <c r="AF4304" s="93"/>
      <c r="AG4304" s="93"/>
      <c r="AH4304" s="93"/>
      <c r="AI4304" s="93"/>
      <c r="AJ4304" s="93"/>
    </row>
    <row r="4305" spans="30:36" ht="18">
      <c r="AD4305" s="93"/>
      <c r="AE4305" s="214"/>
      <c r="AF4305" s="93"/>
      <c r="AG4305" s="93"/>
      <c r="AH4305" s="93"/>
      <c r="AI4305" s="93"/>
      <c r="AJ4305" s="93"/>
    </row>
    <row r="4306" spans="30:36" ht="18">
      <c r="AD4306" s="93"/>
      <c r="AE4306" s="214"/>
      <c r="AF4306" s="93"/>
      <c r="AG4306" s="93"/>
      <c r="AH4306" s="93"/>
      <c r="AI4306" s="93"/>
      <c r="AJ4306" s="93"/>
    </row>
    <row r="4307" spans="30:36" ht="18">
      <c r="AD4307" s="93"/>
      <c r="AE4307" s="214"/>
      <c r="AF4307" s="93"/>
      <c r="AG4307" s="93"/>
      <c r="AH4307" s="93"/>
      <c r="AI4307" s="93"/>
      <c r="AJ4307" s="93"/>
    </row>
    <row r="4308" spans="30:36" ht="18">
      <c r="AD4308" s="93"/>
      <c r="AE4308" s="215"/>
      <c r="AF4308" s="93"/>
      <c r="AG4308" s="93"/>
      <c r="AH4308" s="93"/>
      <c r="AI4308" s="93"/>
      <c r="AJ4308" s="93"/>
    </row>
    <row r="4309" spans="30:36" ht="18">
      <c r="AD4309" s="93"/>
      <c r="AE4309" s="214"/>
      <c r="AF4309" s="93"/>
      <c r="AG4309" s="93"/>
      <c r="AH4309" s="93"/>
      <c r="AI4309" s="93"/>
      <c r="AJ4309" s="93"/>
    </row>
    <row r="4310" spans="30:36" ht="18">
      <c r="AD4310" s="93"/>
      <c r="AE4310" s="214"/>
      <c r="AF4310" s="93"/>
      <c r="AG4310" s="93"/>
      <c r="AH4310" s="93"/>
      <c r="AI4310" s="93"/>
      <c r="AJ4310" s="93"/>
    </row>
    <row r="4311" spans="30:36" ht="18">
      <c r="AD4311" s="93"/>
      <c r="AE4311" s="214"/>
      <c r="AF4311" s="93"/>
      <c r="AG4311" s="93"/>
      <c r="AH4311" s="93"/>
      <c r="AI4311" s="93"/>
      <c r="AJ4311" s="93"/>
    </row>
    <row r="4312" spans="30:36" ht="18">
      <c r="AD4312" s="93"/>
      <c r="AE4312" s="215"/>
      <c r="AF4312" s="93"/>
      <c r="AG4312" s="93"/>
      <c r="AH4312" s="93"/>
      <c r="AI4312" s="93"/>
      <c r="AJ4312" s="93"/>
    </row>
    <row r="4313" spans="30:36" ht="18">
      <c r="AD4313" s="93"/>
      <c r="AE4313" s="214"/>
      <c r="AF4313" s="93"/>
      <c r="AG4313" s="93"/>
      <c r="AH4313" s="93"/>
      <c r="AI4313" s="93"/>
      <c r="AJ4313" s="93"/>
    </row>
    <row r="4314" spans="30:36" ht="18">
      <c r="AD4314" s="93"/>
      <c r="AE4314" s="214"/>
      <c r="AF4314" s="93"/>
      <c r="AG4314" s="93"/>
      <c r="AH4314" s="93"/>
      <c r="AI4314" s="93"/>
      <c r="AJ4314" s="93"/>
    </row>
    <row r="4315" spans="30:36" ht="18">
      <c r="AD4315" s="93"/>
      <c r="AE4315" s="214"/>
      <c r="AF4315" s="93"/>
      <c r="AG4315" s="93"/>
      <c r="AH4315" s="93"/>
      <c r="AI4315" s="93"/>
      <c r="AJ4315" s="93"/>
    </row>
    <row r="4316" spans="30:36" ht="18">
      <c r="AD4316" s="93"/>
      <c r="AE4316" s="215"/>
      <c r="AF4316" s="93"/>
      <c r="AG4316" s="93"/>
      <c r="AH4316" s="93"/>
      <c r="AI4316" s="93"/>
      <c r="AJ4316" s="93"/>
    </row>
    <row r="4317" spans="30:36" ht="18">
      <c r="AD4317" s="93"/>
      <c r="AE4317" s="214"/>
      <c r="AF4317" s="93"/>
      <c r="AG4317" s="93"/>
      <c r="AH4317" s="93"/>
      <c r="AI4317" s="93"/>
      <c r="AJ4317" s="93"/>
    </row>
    <row r="4318" spans="30:36" ht="18">
      <c r="AD4318" s="93"/>
      <c r="AE4318" s="214"/>
      <c r="AF4318" s="93"/>
      <c r="AG4318" s="93"/>
      <c r="AH4318" s="93"/>
      <c r="AI4318" s="93"/>
      <c r="AJ4318" s="93"/>
    </row>
    <row r="4319" spans="30:36" ht="18">
      <c r="AD4319" s="93"/>
      <c r="AE4319" s="214"/>
      <c r="AF4319" s="93"/>
      <c r="AG4319" s="93"/>
      <c r="AH4319" s="93"/>
      <c r="AI4319" s="93"/>
      <c r="AJ4319" s="93"/>
    </row>
    <row r="4320" spans="30:36" ht="18">
      <c r="AD4320" s="93"/>
      <c r="AE4320" s="214"/>
      <c r="AF4320" s="93"/>
      <c r="AG4320" s="93"/>
      <c r="AH4320" s="93"/>
      <c r="AI4320" s="93"/>
      <c r="AJ4320" s="93"/>
    </row>
    <row r="4321" spans="30:36" ht="18">
      <c r="AD4321" s="93"/>
      <c r="AE4321" s="214"/>
      <c r="AF4321" s="93"/>
      <c r="AG4321" s="93"/>
      <c r="AH4321" s="93"/>
      <c r="AI4321" s="93"/>
      <c r="AJ4321" s="93"/>
    </row>
    <row r="4322" spans="30:36" ht="18">
      <c r="AD4322" s="93"/>
      <c r="AE4322" s="214"/>
      <c r="AF4322" s="93"/>
      <c r="AG4322" s="93"/>
      <c r="AH4322" s="93"/>
      <c r="AI4322" s="93"/>
      <c r="AJ4322" s="93"/>
    </row>
    <row r="4323" spans="30:36" ht="18">
      <c r="AD4323" s="93"/>
      <c r="AE4323" s="214"/>
      <c r="AF4323" s="93"/>
      <c r="AG4323" s="93"/>
      <c r="AH4323" s="93"/>
      <c r="AI4323" s="93"/>
      <c r="AJ4323" s="93"/>
    </row>
    <row r="4324" spans="30:36" ht="18">
      <c r="AD4324" s="93"/>
      <c r="AE4324" s="214"/>
      <c r="AF4324" s="93"/>
      <c r="AG4324" s="93"/>
      <c r="AH4324" s="93"/>
      <c r="AI4324" s="93"/>
      <c r="AJ4324" s="93"/>
    </row>
    <row r="4325" spans="30:36" ht="18">
      <c r="AD4325" s="93"/>
      <c r="AE4325" s="214"/>
      <c r="AF4325" s="93"/>
      <c r="AG4325" s="93"/>
      <c r="AH4325" s="93"/>
      <c r="AI4325" s="93"/>
      <c r="AJ4325" s="93"/>
    </row>
    <row r="4326" spans="30:36" ht="18">
      <c r="AD4326" s="93"/>
      <c r="AE4326" s="214"/>
      <c r="AF4326" s="93"/>
      <c r="AG4326" s="93"/>
      <c r="AH4326" s="93"/>
      <c r="AI4326" s="93"/>
      <c r="AJ4326" s="93"/>
    </row>
    <row r="4327" spans="30:36" ht="18">
      <c r="AD4327" s="93"/>
      <c r="AE4327" s="214"/>
      <c r="AF4327" s="93"/>
      <c r="AG4327" s="93"/>
      <c r="AH4327" s="93"/>
      <c r="AI4327" s="93"/>
      <c r="AJ4327" s="93"/>
    </row>
    <row r="4328" spans="30:36" ht="18">
      <c r="AD4328" s="93"/>
      <c r="AE4328" s="214"/>
      <c r="AF4328" s="93"/>
      <c r="AG4328" s="93"/>
      <c r="AH4328" s="93"/>
      <c r="AI4328" s="93"/>
      <c r="AJ4328" s="93"/>
    </row>
    <row r="4329" spans="30:36" ht="18">
      <c r="AD4329" s="93"/>
      <c r="AE4329" s="214"/>
      <c r="AF4329" s="93"/>
      <c r="AG4329" s="93"/>
      <c r="AH4329" s="93"/>
      <c r="AI4329" s="93"/>
      <c r="AJ4329" s="93"/>
    </row>
    <row r="4330" spans="30:36" ht="18">
      <c r="AD4330" s="93"/>
      <c r="AE4330" s="214"/>
      <c r="AF4330" s="93"/>
      <c r="AG4330" s="93"/>
      <c r="AH4330" s="93"/>
      <c r="AI4330" s="93"/>
      <c r="AJ4330" s="93"/>
    </row>
    <row r="4331" spans="30:36" ht="18">
      <c r="AD4331" s="93"/>
      <c r="AE4331" s="214"/>
      <c r="AF4331" s="93"/>
      <c r="AG4331" s="93"/>
      <c r="AH4331" s="93"/>
      <c r="AI4331" s="93"/>
      <c r="AJ4331" s="93"/>
    </row>
    <row r="4332" spans="30:36" ht="18">
      <c r="AD4332" s="93"/>
      <c r="AE4332" s="214"/>
      <c r="AF4332" s="93"/>
      <c r="AG4332" s="93"/>
      <c r="AH4332" s="93"/>
      <c r="AI4332" s="93"/>
      <c r="AJ4332" s="93"/>
    </row>
    <row r="4333" spans="30:36" ht="18">
      <c r="AD4333" s="93"/>
      <c r="AE4333" s="215"/>
      <c r="AF4333" s="93"/>
      <c r="AG4333" s="93"/>
      <c r="AH4333" s="93"/>
      <c r="AI4333" s="93"/>
      <c r="AJ4333" s="93"/>
    </row>
    <row r="4334" spans="30:36" ht="18">
      <c r="AD4334" s="93"/>
      <c r="AE4334" s="215"/>
      <c r="AF4334" s="93"/>
      <c r="AG4334" s="93"/>
      <c r="AH4334" s="93"/>
      <c r="AI4334" s="93"/>
      <c r="AJ4334" s="93"/>
    </row>
    <row r="4335" spans="30:36" ht="18">
      <c r="AD4335" s="93"/>
      <c r="AE4335" s="214"/>
      <c r="AF4335" s="93"/>
      <c r="AG4335" s="93"/>
      <c r="AH4335" s="93"/>
      <c r="AI4335" s="93"/>
      <c r="AJ4335" s="93"/>
    </row>
    <row r="4336" spans="30:36" ht="18">
      <c r="AD4336" s="93"/>
      <c r="AE4336" s="214"/>
      <c r="AF4336" s="93"/>
      <c r="AG4336" s="93"/>
      <c r="AH4336" s="93"/>
      <c r="AI4336" s="93"/>
      <c r="AJ4336" s="93"/>
    </row>
    <row r="4337" spans="30:36" ht="18">
      <c r="AD4337" s="93"/>
      <c r="AE4337" s="214"/>
      <c r="AF4337" s="93"/>
      <c r="AG4337" s="93"/>
      <c r="AH4337" s="93"/>
      <c r="AI4337" s="93"/>
      <c r="AJ4337" s="93"/>
    </row>
    <row r="4338" spans="30:36" ht="18">
      <c r="AD4338" s="93"/>
      <c r="AE4338" s="214"/>
      <c r="AF4338" s="93"/>
      <c r="AG4338" s="93"/>
      <c r="AH4338" s="93"/>
      <c r="AI4338" s="93"/>
      <c r="AJ4338" s="93"/>
    </row>
    <row r="4339" spans="30:36" ht="18">
      <c r="AD4339" s="93"/>
      <c r="AE4339" s="215"/>
      <c r="AF4339" s="93"/>
      <c r="AG4339" s="93"/>
      <c r="AH4339" s="93"/>
      <c r="AI4339" s="93"/>
      <c r="AJ4339" s="93"/>
    </row>
    <row r="4340" spans="30:36" ht="18">
      <c r="AD4340" s="93"/>
      <c r="AE4340" s="215"/>
      <c r="AF4340" s="93"/>
      <c r="AG4340" s="93"/>
      <c r="AH4340" s="93"/>
      <c r="AI4340" s="93"/>
      <c r="AJ4340" s="93"/>
    </row>
    <row r="4341" spans="30:36" ht="18">
      <c r="AD4341" s="93"/>
      <c r="AE4341" s="215"/>
      <c r="AF4341" s="93"/>
      <c r="AG4341" s="93"/>
      <c r="AH4341" s="93"/>
      <c r="AI4341" s="93"/>
      <c r="AJ4341" s="93"/>
    </row>
    <row r="4342" spans="30:36" ht="18">
      <c r="AD4342" s="93"/>
      <c r="AE4342" s="214"/>
      <c r="AF4342" s="93"/>
      <c r="AG4342" s="93"/>
      <c r="AH4342" s="93"/>
      <c r="AI4342" s="93"/>
      <c r="AJ4342" s="93"/>
    </row>
    <row r="4343" spans="30:36" ht="18">
      <c r="AD4343" s="93"/>
      <c r="AE4343" s="214"/>
      <c r="AF4343" s="93"/>
      <c r="AG4343" s="93"/>
      <c r="AH4343" s="93"/>
      <c r="AI4343" s="93"/>
      <c r="AJ4343" s="93"/>
    </row>
    <row r="4344" spans="30:36" ht="18">
      <c r="AD4344" s="93"/>
      <c r="AE4344" s="214"/>
      <c r="AF4344" s="93"/>
      <c r="AG4344" s="93"/>
      <c r="AH4344" s="93"/>
      <c r="AI4344" s="93"/>
      <c r="AJ4344" s="93"/>
    </row>
    <row r="4345" spans="30:36" ht="18">
      <c r="AD4345" s="93"/>
      <c r="AE4345" s="215"/>
      <c r="AF4345" s="93"/>
      <c r="AG4345" s="93"/>
      <c r="AH4345" s="93"/>
      <c r="AI4345" s="93"/>
      <c r="AJ4345" s="93"/>
    </row>
    <row r="4346" spans="30:36" ht="18">
      <c r="AD4346" s="93"/>
      <c r="AE4346" s="214"/>
      <c r="AF4346" s="93"/>
      <c r="AG4346" s="93"/>
      <c r="AH4346" s="93"/>
      <c r="AI4346" s="93"/>
      <c r="AJ4346" s="93"/>
    </row>
    <row r="4347" spans="30:36" ht="18">
      <c r="AD4347" s="93"/>
      <c r="AE4347" s="214"/>
      <c r="AF4347" s="93"/>
      <c r="AG4347" s="93"/>
      <c r="AH4347" s="93"/>
      <c r="AI4347" s="93"/>
      <c r="AJ4347" s="93"/>
    </row>
    <row r="4348" spans="30:36" ht="18">
      <c r="AD4348" s="93"/>
      <c r="AE4348" s="214"/>
      <c r="AF4348" s="93"/>
      <c r="AG4348" s="93"/>
      <c r="AH4348" s="93"/>
      <c r="AI4348" s="93"/>
      <c r="AJ4348" s="93"/>
    </row>
    <row r="4349" spans="30:36" ht="18">
      <c r="AD4349" s="93"/>
      <c r="AE4349" s="214"/>
      <c r="AF4349" s="93"/>
      <c r="AG4349" s="93"/>
      <c r="AH4349" s="93"/>
      <c r="AI4349" s="93"/>
      <c r="AJ4349" s="93"/>
    </row>
    <row r="4350" spans="30:36" ht="18">
      <c r="AD4350" s="93"/>
      <c r="AE4350" s="214"/>
      <c r="AF4350" s="93"/>
      <c r="AG4350" s="93"/>
      <c r="AH4350" s="93"/>
      <c r="AI4350" s="93"/>
      <c r="AJ4350" s="93"/>
    </row>
    <row r="4351" spans="30:36" ht="18">
      <c r="AD4351" s="93"/>
      <c r="AE4351" s="214"/>
      <c r="AF4351" s="93"/>
      <c r="AG4351" s="93"/>
      <c r="AH4351" s="93"/>
      <c r="AI4351" s="93"/>
      <c r="AJ4351" s="93"/>
    </row>
    <row r="4352" spans="30:36" ht="18">
      <c r="AD4352" s="93"/>
      <c r="AE4352" s="214"/>
      <c r="AF4352" s="93"/>
      <c r="AG4352" s="93"/>
      <c r="AH4352" s="93"/>
      <c r="AI4352" s="93"/>
      <c r="AJ4352" s="93"/>
    </row>
    <row r="4353" spans="30:36" ht="18">
      <c r="AD4353" s="93"/>
      <c r="AE4353" s="214"/>
      <c r="AF4353" s="93"/>
      <c r="AG4353" s="93"/>
      <c r="AH4353" s="93"/>
      <c r="AI4353" s="93"/>
      <c r="AJ4353" s="93"/>
    </row>
    <row r="4354" spans="30:36" ht="18">
      <c r="AD4354" s="93"/>
      <c r="AE4354" s="214"/>
      <c r="AF4354" s="93"/>
      <c r="AG4354" s="93"/>
      <c r="AH4354" s="93"/>
      <c r="AI4354" s="93"/>
      <c r="AJ4354" s="93"/>
    </row>
    <row r="4355" spans="30:36" ht="18">
      <c r="AD4355" s="93"/>
      <c r="AE4355" s="214"/>
      <c r="AF4355" s="93"/>
      <c r="AG4355" s="93"/>
      <c r="AH4355" s="93"/>
      <c r="AI4355" s="93"/>
      <c r="AJ4355" s="93"/>
    </row>
    <row r="4356" spans="30:36" ht="18">
      <c r="AD4356" s="93"/>
      <c r="AE4356" s="214"/>
      <c r="AF4356" s="93"/>
      <c r="AG4356" s="93"/>
      <c r="AH4356" s="93"/>
      <c r="AI4356" s="93"/>
      <c r="AJ4356" s="93"/>
    </row>
    <row r="4357" spans="30:36" ht="18">
      <c r="AD4357" s="93"/>
      <c r="AE4357" s="214"/>
      <c r="AF4357" s="93"/>
      <c r="AG4357" s="93"/>
      <c r="AH4357" s="93"/>
      <c r="AI4357" s="93"/>
      <c r="AJ4357" s="93"/>
    </row>
    <row r="4358" spans="30:36" ht="18">
      <c r="AD4358" s="93"/>
      <c r="AE4358" s="214"/>
      <c r="AF4358" s="93"/>
      <c r="AG4358" s="93"/>
      <c r="AH4358" s="93"/>
      <c r="AI4358" s="93"/>
      <c r="AJ4358" s="93"/>
    </row>
    <row r="4359" spans="30:36" ht="18">
      <c r="AD4359" s="93"/>
      <c r="AE4359" s="214"/>
      <c r="AF4359" s="93"/>
      <c r="AG4359" s="93"/>
      <c r="AH4359" s="93"/>
      <c r="AI4359" s="93"/>
      <c r="AJ4359" s="93"/>
    </row>
    <row r="4360" spans="30:36" ht="18">
      <c r="AD4360" s="93"/>
      <c r="AE4360" s="214"/>
      <c r="AF4360" s="93"/>
      <c r="AG4360" s="93"/>
      <c r="AH4360" s="93"/>
      <c r="AI4360" s="93"/>
      <c r="AJ4360" s="93"/>
    </row>
    <row r="4361" spans="30:36" ht="18">
      <c r="AD4361" s="93"/>
      <c r="AE4361" s="214"/>
      <c r="AF4361" s="93"/>
      <c r="AG4361" s="93"/>
      <c r="AH4361" s="93"/>
      <c r="AI4361" s="93"/>
      <c r="AJ4361" s="93"/>
    </row>
    <row r="4362" spans="30:36" ht="18">
      <c r="AD4362" s="93"/>
      <c r="AE4362" s="214"/>
      <c r="AF4362" s="93"/>
      <c r="AG4362" s="93"/>
      <c r="AH4362" s="93"/>
      <c r="AI4362" s="93"/>
      <c r="AJ4362" s="93"/>
    </row>
    <row r="4363" spans="30:36" ht="18">
      <c r="AD4363" s="93"/>
      <c r="AE4363" s="214"/>
      <c r="AF4363" s="93"/>
      <c r="AG4363" s="93"/>
      <c r="AH4363" s="93"/>
      <c r="AI4363" s="93"/>
      <c r="AJ4363" s="93"/>
    </row>
    <row r="4364" spans="30:36" ht="18">
      <c r="AD4364" s="93"/>
      <c r="AE4364" s="214"/>
      <c r="AF4364" s="93"/>
      <c r="AG4364" s="93"/>
      <c r="AH4364" s="93"/>
      <c r="AI4364" s="93"/>
      <c r="AJ4364" s="93"/>
    </row>
    <row r="4365" spans="30:36" ht="18">
      <c r="AD4365" s="93"/>
      <c r="AE4365" s="214"/>
      <c r="AF4365" s="93"/>
      <c r="AG4365" s="93"/>
      <c r="AH4365" s="93"/>
      <c r="AI4365" s="93"/>
      <c r="AJ4365" s="93"/>
    </row>
    <row r="4366" spans="30:36" ht="18">
      <c r="AD4366" s="93"/>
      <c r="AE4366" s="215"/>
      <c r="AF4366" s="93"/>
      <c r="AG4366" s="93"/>
      <c r="AH4366" s="93"/>
      <c r="AI4366" s="93"/>
      <c r="AJ4366" s="93"/>
    </row>
    <row r="4367" spans="30:36" ht="18">
      <c r="AD4367" s="93"/>
      <c r="AE4367" s="214"/>
      <c r="AF4367" s="93"/>
      <c r="AG4367" s="93"/>
      <c r="AH4367" s="93"/>
      <c r="AI4367" s="93"/>
      <c r="AJ4367" s="93"/>
    </row>
    <row r="4368" spans="30:36" ht="18">
      <c r="AD4368" s="93"/>
      <c r="AE4368" s="214"/>
      <c r="AF4368" s="93"/>
      <c r="AG4368" s="93"/>
      <c r="AH4368" s="93"/>
      <c r="AI4368" s="93"/>
      <c r="AJ4368" s="93"/>
    </row>
    <row r="4369" spans="30:36" ht="18">
      <c r="AD4369" s="93"/>
      <c r="AE4369" s="214"/>
      <c r="AF4369" s="93"/>
      <c r="AG4369" s="93"/>
      <c r="AH4369" s="93"/>
      <c r="AI4369" s="93"/>
      <c r="AJ4369" s="93"/>
    </row>
    <row r="4370" spans="30:36" ht="18">
      <c r="AD4370" s="93"/>
      <c r="AE4370" s="214"/>
      <c r="AF4370" s="93"/>
      <c r="AG4370" s="93"/>
      <c r="AH4370" s="93"/>
      <c r="AI4370" s="93"/>
      <c r="AJ4370" s="93"/>
    </row>
    <row r="4371" spans="30:36" ht="18">
      <c r="AD4371" s="93"/>
      <c r="AE4371" s="214"/>
      <c r="AF4371" s="93"/>
      <c r="AG4371" s="93"/>
      <c r="AH4371" s="93"/>
      <c r="AI4371" s="93"/>
      <c r="AJ4371" s="93"/>
    </row>
    <row r="4372" spans="30:36" ht="18">
      <c r="AD4372" s="93"/>
      <c r="AE4372" s="214"/>
      <c r="AF4372" s="93"/>
      <c r="AG4372" s="93"/>
      <c r="AH4372" s="93"/>
      <c r="AI4372" s="93"/>
      <c r="AJ4372" s="93"/>
    </row>
    <row r="4373" spans="30:36" ht="18">
      <c r="AD4373" s="93"/>
      <c r="AE4373" s="215"/>
      <c r="AF4373" s="93"/>
      <c r="AG4373" s="93"/>
      <c r="AH4373" s="93"/>
      <c r="AI4373" s="93"/>
      <c r="AJ4373" s="93"/>
    </row>
    <row r="4374" spans="30:36" ht="18">
      <c r="AD4374" s="93"/>
      <c r="AE4374" s="214"/>
      <c r="AF4374" s="93"/>
      <c r="AG4374" s="93"/>
      <c r="AH4374" s="93"/>
      <c r="AI4374" s="93"/>
      <c r="AJ4374" s="93"/>
    </row>
    <row r="4375" spans="30:36" ht="18">
      <c r="AD4375" s="93"/>
      <c r="AE4375" s="214"/>
      <c r="AF4375" s="93"/>
      <c r="AG4375" s="93"/>
      <c r="AH4375" s="93"/>
      <c r="AI4375" s="93"/>
      <c r="AJ4375" s="93"/>
    </row>
    <row r="4376" spans="30:36" ht="18">
      <c r="AD4376" s="93"/>
      <c r="AE4376" s="214"/>
      <c r="AF4376" s="93"/>
      <c r="AG4376" s="93"/>
      <c r="AH4376" s="93"/>
      <c r="AI4376" s="93"/>
      <c r="AJ4376" s="93"/>
    </row>
    <row r="4377" spans="30:36" ht="18">
      <c r="AD4377" s="93"/>
      <c r="AE4377" s="214"/>
      <c r="AF4377" s="93"/>
      <c r="AG4377" s="93"/>
      <c r="AH4377" s="93"/>
      <c r="AI4377" s="93"/>
      <c r="AJ4377" s="93"/>
    </row>
    <row r="4378" spans="30:36" ht="18">
      <c r="AD4378" s="93"/>
      <c r="AE4378" s="214"/>
      <c r="AF4378" s="93"/>
      <c r="AG4378" s="93"/>
      <c r="AH4378" s="93"/>
      <c r="AI4378" s="93"/>
      <c r="AJ4378" s="93"/>
    </row>
    <row r="4379" spans="30:36" ht="18">
      <c r="AD4379" s="93"/>
      <c r="AE4379" s="214"/>
      <c r="AF4379" s="93"/>
      <c r="AG4379" s="93"/>
      <c r="AH4379" s="93"/>
      <c r="AI4379" s="93"/>
      <c r="AJ4379" s="93"/>
    </row>
    <row r="4380" spans="30:36" ht="18">
      <c r="AD4380" s="93"/>
      <c r="AE4380" s="214"/>
      <c r="AF4380" s="93"/>
      <c r="AG4380" s="93"/>
      <c r="AH4380" s="93"/>
      <c r="AI4380" s="93"/>
      <c r="AJ4380" s="93"/>
    </row>
    <row r="4381" spans="30:36" ht="18">
      <c r="AD4381" s="93"/>
      <c r="AE4381" s="214"/>
      <c r="AF4381" s="93"/>
      <c r="AG4381" s="93"/>
      <c r="AH4381" s="93"/>
      <c r="AI4381" s="93"/>
      <c r="AJ4381" s="93"/>
    </row>
    <row r="4382" spans="30:36" ht="18">
      <c r="AD4382" s="93"/>
      <c r="AE4382" s="214"/>
      <c r="AF4382" s="93"/>
      <c r="AG4382" s="93"/>
      <c r="AH4382" s="93"/>
      <c r="AI4382" s="93"/>
      <c r="AJ4382" s="93"/>
    </row>
    <row r="4383" spans="30:36" ht="18">
      <c r="AD4383" s="93"/>
      <c r="AE4383" s="214"/>
      <c r="AF4383" s="93"/>
      <c r="AG4383" s="93"/>
      <c r="AH4383" s="93"/>
      <c r="AI4383" s="93"/>
      <c r="AJ4383" s="93"/>
    </row>
    <row r="4384" spans="30:36" ht="18">
      <c r="AD4384" s="93"/>
      <c r="AE4384" s="214"/>
      <c r="AF4384" s="93"/>
      <c r="AG4384" s="93"/>
      <c r="AH4384" s="93"/>
      <c r="AI4384" s="93"/>
      <c r="AJ4384" s="93"/>
    </row>
    <row r="4385" spans="30:36" ht="18">
      <c r="AD4385" s="93"/>
      <c r="AE4385" s="214"/>
      <c r="AF4385" s="93"/>
      <c r="AG4385" s="93"/>
      <c r="AH4385" s="93"/>
      <c r="AI4385" s="93"/>
      <c r="AJ4385" s="93"/>
    </row>
    <row r="4386" spans="30:36" ht="18">
      <c r="AD4386" s="93"/>
      <c r="AE4386" s="215"/>
      <c r="AF4386" s="93"/>
      <c r="AG4386" s="93"/>
      <c r="AH4386" s="93"/>
      <c r="AI4386" s="93"/>
      <c r="AJ4386" s="93"/>
    </row>
    <row r="4387" spans="30:36" ht="18">
      <c r="AD4387" s="93"/>
      <c r="AE4387" s="214"/>
      <c r="AF4387" s="93"/>
      <c r="AG4387" s="93"/>
      <c r="AH4387" s="93"/>
      <c r="AI4387" s="93"/>
      <c r="AJ4387" s="93"/>
    </row>
    <row r="4388" spans="30:36" ht="18">
      <c r="AD4388" s="93"/>
      <c r="AE4388" s="214"/>
      <c r="AF4388" s="93"/>
      <c r="AG4388" s="93"/>
      <c r="AH4388" s="93"/>
      <c r="AI4388" s="93"/>
      <c r="AJ4388" s="93"/>
    </row>
    <row r="4389" spans="30:36" ht="18">
      <c r="AD4389" s="93"/>
      <c r="AE4389" s="214"/>
      <c r="AF4389" s="93"/>
      <c r="AG4389" s="93"/>
      <c r="AH4389" s="93"/>
      <c r="AI4389" s="93"/>
      <c r="AJ4389" s="93"/>
    </row>
    <row r="4390" spans="30:36" ht="18">
      <c r="AD4390" s="93"/>
      <c r="AE4390" s="214"/>
      <c r="AF4390" s="93"/>
      <c r="AG4390" s="93"/>
      <c r="AH4390" s="93"/>
      <c r="AI4390" s="93"/>
      <c r="AJ4390" s="93"/>
    </row>
    <row r="4391" spans="30:36" ht="18">
      <c r="AD4391" s="93"/>
      <c r="AE4391" s="215"/>
      <c r="AF4391" s="93"/>
      <c r="AG4391" s="93"/>
      <c r="AH4391" s="93"/>
      <c r="AI4391" s="93"/>
      <c r="AJ4391" s="93"/>
    </row>
    <row r="4392" spans="30:36" ht="18">
      <c r="AD4392" s="93"/>
      <c r="AE4392" s="214"/>
      <c r="AF4392" s="93"/>
      <c r="AG4392" s="93"/>
      <c r="AH4392" s="93"/>
      <c r="AI4392" s="93"/>
      <c r="AJ4392" s="93"/>
    </row>
    <row r="4393" spans="30:36" ht="18">
      <c r="AD4393" s="93"/>
      <c r="AE4393" s="214"/>
      <c r="AF4393" s="93"/>
      <c r="AG4393" s="93"/>
      <c r="AH4393" s="93"/>
      <c r="AI4393" s="93"/>
      <c r="AJ4393" s="93"/>
    </row>
    <row r="4394" spans="30:36" ht="18">
      <c r="AD4394" s="93"/>
      <c r="AE4394" s="214"/>
      <c r="AF4394" s="93"/>
      <c r="AG4394" s="93"/>
      <c r="AH4394" s="93"/>
      <c r="AI4394" s="93"/>
      <c r="AJ4394" s="93"/>
    </row>
    <row r="4395" spans="30:36" ht="18">
      <c r="AD4395" s="93"/>
      <c r="AE4395" s="214"/>
      <c r="AF4395" s="93"/>
      <c r="AG4395" s="93"/>
      <c r="AH4395" s="93"/>
      <c r="AI4395" s="93"/>
      <c r="AJ4395" s="93"/>
    </row>
    <row r="4396" spans="30:36" ht="18">
      <c r="AD4396" s="93"/>
      <c r="AE4396" s="214"/>
      <c r="AF4396" s="93"/>
      <c r="AG4396" s="93"/>
      <c r="AH4396" s="93"/>
      <c r="AI4396" s="93"/>
      <c r="AJ4396" s="93"/>
    </row>
    <row r="4397" spans="30:36" ht="18">
      <c r="AD4397" s="93"/>
      <c r="AE4397" s="214"/>
      <c r="AF4397" s="93"/>
      <c r="AG4397" s="93"/>
      <c r="AH4397" s="93"/>
      <c r="AI4397" s="93"/>
      <c r="AJ4397" s="93"/>
    </row>
    <row r="4398" spans="30:36" ht="18">
      <c r="AD4398" s="93"/>
      <c r="AE4398" s="214"/>
      <c r="AF4398" s="93"/>
      <c r="AG4398" s="93"/>
      <c r="AH4398" s="93"/>
      <c r="AI4398" s="93"/>
      <c r="AJ4398" s="93"/>
    </row>
    <row r="4399" spans="30:36" ht="18">
      <c r="AD4399" s="93"/>
      <c r="AE4399" s="214"/>
      <c r="AF4399" s="93"/>
      <c r="AG4399" s="93"/>
      <c r="AH4399" s="93"/>
      <c r="AI4399" s="93"/>
      <c r="AJ4399" s="93"/>
    </row>
    <row r="4400" spans="30:36" ht="18">
      <c r="AD4400" s="93"/>
      <c r="AE4400" s="214"/>
      <c r="AF4400" s="93"/>
      <c r="AG4400" s="93"/>
      <c r="AH4400" s="93"/>
      <c r="AI4400" s="93"/>
      <c r="AJ4400" s="93"/>
    </row>
    <row r="4401" spans="30:36" ht="18">
      <c r="AD4401" s="93"/>
      <c r="AE4401" s="214"/>
      <c r="AF4401" s="93"/>
      <c r="AG4401" s="93"/>
      <c r="AH4401" s="93"/>
      <c r="AI4401" s="93"/>
      <c r="AJ4401" s="93"/>
    </row>
    <row r="4402" spans="30:36" ht="18">
      <c r="AD4402" s="93"/>
      <c r="AE4402" s="214"/>
      <c r="AF4402" s="93"/>
      <c r="AG4402" s="93"/>
      <c r="AH4402" s="93"/>
      <c r="AI4402" s="93"/>
      <c r="AJ4402" s="93"/>
    </row>
    <row r="4403" spans="30:36" ht="18">
      <c r="AD4403" s="93"/>
      <c r="AE4403" s="214"/>
      <c r="AF4403" s="93"/>
      <c r="AG4403" s="93"/>
      <c r="AH4403" s="93"/>
      <c r="AI4403" s="93"/>
      <c r="AJ4403" s="93"/>
    </row>
    <row r="4404" spans="30:36" ht="18">
      <c r="AD4404" s="93"/>
      <c r="AE4404" s="214"/>
      <c r="AF4404" s="93"/>
      <c r="AG4404" s="93"/>
      <c r="AH4404" s="93"/>
      <c r="AI4404" s="93"/>
      <c r="AJ4404" s="93"/>
    </row>
    <row r="4405" spans="30:36" ht="18">
      <c r="AD4405" s="93"/>
      <c r="AE4405" s="214"/>
      <c r="AF4405" s="93"/>
      <c r="AG4405" s="93"/>
      <c r="AH4405" s="93"/>
      <c r="AI4405" s="93"/>
      <c r="AJ4405" s="93"/>
    </row>
    <row r="4406" spans="30:36" ht="18">
      <c r="AD4406" s="93"/>
      <c r="AE4406" s="214"/>
      <c r="AF4406" s="93"/>
      <c r="AG4406" s="93"/>
      <c r="AH4406" s="93"/>
      <c r="AI4406" s="93"/>
      <c r="AJ4406" s="93"/>
    </row>
    <row r="4407" spans="30:36" ht="18">
      <c r="AD4407" s="93"/>
      <c r="AE4407" s="214"/>
      <c r="AF4407" s="93"/>
      <c r="AG4407" s="93"/>
      <c r="AH4407" s="93"/>
      <c r="AI4407" s="93"/>
      <c r="AJ4407" s="93"/>
    </row>
    <row r="4408" spans="30:36" ht="18">
      <c r="AD4408" s="93"/>
      <c r="AE4408" s="214"/>
      <c r="AF4408" s="93"/>
      <c r="AG4408" s="93"/>
      <c r="AH4408" s="93"/>
      <c r="AI4408" s="93"/>
      <c r="AJ4408" s="93"/>
    </row>
    <row r="4409" spans="30:36" ht="18">
      <c r="AD4409" s="93"/>
      <c r="AE4409" s="214"/>
      <c r="AF4409" s="93"/>
      <c r="AG4409" s="93"/>
      <c r="AH4409" s="93"/>
      <c r="AI4409" s="93"/>
      <c r="AJ4409" s="93"/>
    </row>
    <row r="4410" spans="30:36" ht="18">
      <c r="AD4410" s="93"/>
      <c r="AE4410" s="214"/>
      <c r="AF4410" s="93"/>
      <c r="AG4410" s="93"/>
      <c r="AH4410" s="93"/>
      <c r="AI4410" s="93"/>
      <c r="AJ4410" s="93"/>
    </row>
    <row r="4411" spans="30:36" ht="18">
      <c r="AD4411" s="93"/>
      <c r="AE4411" s="215"/>
      <c r="AF4411" s="93"/>
      <c r="AG4411" s="93"/>
      <c r="AH4411" s="93"/>
      <c r="AI4411" s="93"/>
      <c r="AJ4411" s="93"/>
    </row>
    <row r="4412" spans="30:36" ht="18">
      <c r="AD4412" s="93"/>
      <c r="AE4412" s="215"/>
      <c r="AF4412" s="93"/>
      <c r="AG4412" s="93"/>
      <c r="AH4412" s="93"/>
      <c r="AI4412" s="93"/>
      <c r="AJ4412" s="93"/>
    </row>
    <row r="4413" spans="30:36" ht="18">
      <c r="AD4413" s="93"/>
      <c r="AE4413" s="214"/>
      <c r="AF4413" s="93"/>
      <c r="AG4413" s="93"/>
      <c r="AH4413" s="93"/>
      <c r="AI4413" s="93"/>
      <c r="AJ4413" s="93"/>
    </row>
    <row r="4414" spans="30:36" ht="18">
      <c r="AD4414" s="93"/>
      <c r="AE4414" s="214"/>
      <c r="AF4414" s="93"/>
      <c r="AG4414" s="93"/>
      <c r="AH4414" s="93"/>
      <c r="AI4414" s="93"/>
      <c r="AJ4414" s="93"/>
    </row>
    <row r="4415" spans="30:36" ht="18">
      <c r="AD4415" s="93"/>
      <c r="AE4415" s="214"/>
      <c r="AF4415" s="93"/>
      <c r="AG4415" s="93"/>
      <c r="AH4415" s="93"/>
      <c r="AI4415" s="93"/>
      <c r="AJ4415" s="93"/>
    </row>
    <row r="4416" spans="30:36" ht="18">
      <c r="AD4416" s="93"/>
      <c r="AE4416" s="215"/>
      <c r="AF4416" s="93"/>
      <c r="AG4416" s="93"/>
      <c r="AH4416" s="93"/>
      <c r="AI4416" s="93"/>
      <c r="AJ4416" s="93"/>
    </row>
    <row r="4417" spans="30:36" ht="18">
      <c r="AD4417" s="93"/>
      <c r="AE4417" s="214"/>
      <c r="AF4417" s="93"/>
      <c r="AG4417" s="93"/>
      <c r="AH4417" s="93"/>
      <c r="AI4417" s="93"/>
      <c r="AJ4417" s="93"/>
    </row>
    <row r="4418" spans="30:36" ht="18">
      <c r="AD4418" s="93"/>
      <c r="AE4418" s="214"/>
      <c r="AF4418" s="93"/>
      <c r="AG4418" s="93"/>
      <c r="AH4418" s="93"/>
      <c r="AI4418" s="93"/>
      <c r="AJ4418" s="93"/>
    </row>
    <row r="4419" spans="30:36" ht="18">
      <c r="AD4419" s="93"/>
      <c r="AE4419" s="214"/>
      <c r="AF4419" s="93"/>
      <c r="AG4419" s="93"/>
      <c r="AH4419" s="93"/>
      <c r="AI4419" s="93"/>
      <c r="AJ4419" s="93"/>
    </row>
    <row r="4420" spans="30:36" ht="18">
      <c r="AD4420" s="93"/>
      <c r="AE4420" s="214"/>
      <c r="AF4420" s="93"/>
      <c r="AG4420" s="93"/>
      <c r="AH4420" s="93"/>
      <c r="AI4420" s="93"/>
      <c r="AJ4420" s="93"/>
    </row>
    <row r="4421" spans="30:36" ht="18">
      <c r="AD4421" s="93"/>
      <c r="AE4421" s="214"/>
      <c r="AF4421" s="93"/>
      <c r="AG4421" s="93"/>
      <c r="AH4421" s="93"/>
      <c r="AI4421" s="93"/>
      <c r="AJ4421" s="93"/>
    </row>
    <row r="4422" spans="30:36" ht="18">
      <c r="AD4422" s="93"/>
      <c r="AE4422" s="214"/>
      <c r="AF4422" s="93"/>
      <c r="AG4422" s="93"/>
      <c r="AH4422" s="93"/>
      <c r="AI4422" s="93"/>
      <c r="AJ4422" s="93"/>
    </row>
    <row r="4423" spans="30:36" ht="18">
      <c r="AD4423" s="93"/>
      <c r="AE4423" s="215"/>
      <c r="AF4423" s="93"/>
      <c r="AG4423" s="93"/>
      <c r="AH4423" s="93"/>
      <c r="AI4423" s="93"/>
      <c r="AJ4423" s="93"/>
    </row>
    <row r="4424" spans="30:36" ht="18">
      <c r="AD4424" s="93"/>
      <c r="AE4424" s="214"/>
      <c r="AF4424" s="93"/>
      <c r="AG4424" s="93"/>
      <c r="AH4424" s="93"/>
      <c r="AI4424" s="93"/>
      <c r="AJ4424" s="93"/>
    </row>
    <row r="4425" spans="30:36" ht="18">
      <c r="AD4425" s="93"/>
      <c r="AE4425" s="214"/>
      <c r="AF4425" s="93"/>
      <c r="AG4425" s="93"/>
      <c r="AH4425" s="93"/>
      <c r="AI4425" s="93"/>
      <c r="AJ4425" s="93"/>
    </row>
    <row r="4426" spans="30:36" ht="18">
      <c r="AD4426" s="93"/>
      <c r="AE4426" s="214"/>
      <c r="AF4426" s="93"/>
      <c r="AG4426" s="93"/>
      <c r="AH4426" s="93"/>
      <c r="AI4426" s="93"/>
      <c r="AJ4426" s="93"/>
    </row>
    <row r="4427" spans="30:36" ht="18">
      <c r="AD4427" s="93"/>
      <c r="AE4427" s="214"/>
      <c r="AF4427" s="93"/>
      <c r="AG4427" s="93"/>
      <c r="AH4427" s="93"/>
      <c r="AI4427" s="93"/>
      <c r="AJ4427" s="93"/>
    </row>
    <row r="4428" spans="30:36" ht="18">
      <c r="AD4428" s="93"/>
      <c r="AE4428" s="215"/>
      <c r="AF4428" s="93"/>
      <c r="AG4428" s="93"/>
      <c r="AH4428" s="93"/>
      <c r="AI4428" s="93"/>
      <c r="AJ4428" s="93"/>
    </row>
    <row r="4429" spans="30:36" ht="18">
      <c r="AD4429" s="93"/>
      <c r="AE4429" s="215"/>
      <c r="AF4429" s="93"/>
      <c r="AG4429" s="93"/>
      <c r="AH4429" s="93"/>
      <c r="AI4429" s="93"/>
      <c r="AJ4429" s="93"/>
    </row>
    <row r="4430" spans="30:36" ht="18">
      <c r="AD4430" s="93"/>
      <c r="AE4430" s="215"/>
      <c r="AF4430" s="93"/>
      <c r="AG4430" s="93"/>
      <c r="AH4430" s="93"/>
      <c r="AI4430" s="93"/>
      <c r="AJ4430" s="93"/>
    </row>
    <row r="4431" spans="30:36" ht="18">
      <c r="AD4431" s="93"/>
      <c r="AE4431" s="214"/>
      <c r="AF4431" s="93"/>
      <c r="AG4431" s="93"/>
      <c r="AH4431" s="93"/>
      <c r="AI4431" s="93"/>
      <c r="AJ4431" s="93"/>
    </row>
    <row r="4432" spans="30:36" ht="18">
      <c r="AD4432" s="93"/>
      <c r="AE4432" s="214"/>
      <c r="AF4432" s="93"/>
      <c r="AG4432" s="93"/>
      <c r="AH4432" s="93"/>
      <c r="AI4432" s="93"/>
      <c r="AJ4432" s="93"/>
    </row>
    <row r="4433" spans="30:36" ht="18">
      <c r="AD4433" s="93"/>
      <c r="AE4433" s="215"/>
      <c r="AF4433" s="93"/>
      <c r="AG4433" s="93"/>
      <c r="AH4433" s="93"/>
      <c r="AI4433" s="93"/>
      <c r="AJ4433" s="93"/>
    </row>
    <row r="4434" spans="30:36" ht="18">
      <c r="AD4434" s="93"/>
      <c r="AE4434" s="214"/>
      <c r="AF4434" s="93"/>
      <c r="AG4434" s="93"/>
      <c r="AH4434" s="93"/>
      <c r="AI4434" s="93"/>
      <c r="AJ4434" s="93"/>
    </row>
    <row r="4435" spans="30:36" ht="18">
      <c r="AD4435" s="93"/>
      <c r="AE4435" s="214"/>
      <c r="AF4435" s="93"/>
      <c r="AG4435" s="93"/>
      <c r="AH4435" s="93"/>
      <c r="AI4435" s="93"/>
      <c r="AJ4435" s="93"/>
    </row>
    <row r="4436" spans="30:36" ht="18">
      <c r="AD4436" s="93"/>
      <c r="AE4436" s="214"/>
      <c r="AF4436" s="93"/>
      <c r="AG4436" s="93"/>
      <c r="AH4436" s="93"/>
      <c r="AI4436" s="93"/>
      <c r="AJ4436" s="93"/>
    </row>
    <row r="4437" spans="30:36" ht="18">
      <c r="AD4437" s="93"/>
      <c r="AE4437" s="214"/>
      <c r="AF4437" s="93"/>
      <c r="AG4437" s="93"/>
      <c r="AH4437" s="93"/>
      <c r="AI4437" s="93"/>
      <c r="AJ4437" s="93"/>
    </row>
    <row r="4438" spans="30:36" ht="18">
      <c r="AD4438" s="93"/>
      <c r="AE4438" s="214"/>
      <c r="AF4438" s="93"/>
      <c r="AG4438" s="93"/>
      <c r="AH4438" s="93"/>
      <c r="AI4438" s="93"/>
      <c r="AJ4438" s="93"/>
    </row>
    <row r="4439" spans="30:36" ht="18">
      <c r="AD4439" s="93"/>
      <c r="AE4439" s="214"/>
      <c r="AF4439" s="93"/>
      <c r="AG4439" s="93"/>
      <c r="AH4439" s="93"/>
      <c r="AI4439" s="93"/>
      <c r="AJ4439" s="93"/>
    </row>
    <row r="4440" spans="30:36" ht="18">
      <c r="AD4440" s="93"/>
      <c r="AE4440" s="214"/>
      <c r="AF4440" s="93"/>
      <c r="AG4440" s="93"/>
      <c r="AH4440" s="93"/>
      <c r="AI4440" s="93"/>
      <c r="AJ4440" s="93"/>
    </row>
    <row r="4441" spans="30:36" ht="18">
      <c r="AD4441" s="93"/>
      <c r="AE4441" s="214"/>
      <c r="AF4441" s="93"/>
      <c r="AG4441" s="93"/>
      <c r="AH4441" s="93"/>
      <c r="AI4441" s="93"/>
      <c r="AJ4441" s="93"/>
    </row>
    <row r="4442" spans="30:36" ht="18">
      <c r="AD4442" s="93"/>
      <c r="AE4442" s="214"/>
      <c r="AF4442" s="93"/>
      <c r="AG4442" s="93"/>
      <c r="AH4442" s="93"/>
      <c r="AI4442" s="93"/>
      <c r="AJ4442" s="93"/>
    </row>
    <row r="4443" spans="30:36" ht="18">
      <c r="AD4443" s="93"/>
      <c r="AE4443" s="214"/>
      <c r="AF4443" s="93"/>
      <c r="AG4443" s="93"/>
      <c r="AH4443" s="93"/>
      <c r="AI4443" s="93"/>
      <c r="AJ4443" s="93"/>
    </row>
    <row r="4444" spans="30:36" ht="18">
      <c r="AD4444" s="93"/>
      <c r="AE4444" s="214"/>
      <c r="AF4444" s="93"/>
      <c r="AG4444" s="93"/>
      <c r="AH4444" s="93"/>
      <c r="AI4444" s="93"/>
      <c r="AJ4444" s="93"/>
    </row>
    <row r="4445" spans="30:36" ht="18">
      <c r="AD4445" s="93"/>
      <c r="AE4445" s="214"/>
      <c r="AF4445" s="93"/>
      <c r="AG4445" s="93"/>
      <c r="AH4445" s="93"/>
      <c r="AI4445" s="93"/>
      <c r="AJ4445" s="93"/>
    </row>
    <row r="4446" spans="30:36" ht="18">
      <c r="AD4446" s="93"/>
      <c r="AE4446" s="214"/>
      <c r="AF4446" s="93"/>
      <c r="AG4446" s="93"/>
      <c r="AH4446" s="93"/>
      <c r="AI4446" s="93"/>
      <c r="AJ4446" s="93"/>
    </row>
    <row r="4447" spans="30:36" ht="18">
      <c r="AD4447" s="93"/>
      <c r="AE4447" s="214"/>
      <c r="AF4447" s="93"/>
      <c r="AG4447" s="93"/>
      <c r="AH4447" s="93"/>
      <c r="AI4447" s="93"/>
      <c r="AJ4447" s="93"/>
    </row>
    <row r="4448" spans="30:36" ht="18">
      <c r="AD4448" s="93"/>
      <c r="AE4448" s="215"/>
      <c r="AF4448" s="93"/>
      <c r="AG4448" s="93"/>
      <c r="AH4448" s="93"/>
      <c r="AI4448" s="93"/>
      <c r="AJ4448" s="93"/>
    </row>
    <row r="4449" spans="30:36" ht="18">
      <c r="AD4449" s="93"/>
      <c r="AE4449" s="214"/>
      <c r="AF4449" s="93"/>
      <c r="AG4449" s="93"/>
      <c r="AH4449" s="93"/>
      <c r="AI4449" s="93"/>
      <c r="AJ4449" s="93"/>
    </row>
    <row r="4450" spans="30:36" ht="18">
      <c r="AD4450" s="93"/>
      <c r="AE4450" s="214"/>
      <c r="AF4450" s="93"/>
      <c r="AG4450" s="93"/>
      <c r="AH4450" s="93"/>
      <c r="AI4450" s="93"/>
      <c r="AJ4450" s="93"/>
    </row>
    <row r="4451" spans="30:36" ht="18">
      <c r="AD4451" s="93"/>
      <c r="AE4451" s="214"/>
      <c r="AF4451" s="93"/>
      <c r="AG4451" s="93"/>
      <c r="AH4451" s="93"/>
      <c r="AI4451" s="93"/>
      <c r="AJ4451" s="93"/>
    </row>
    <row r="4452" spans="30:36" ht="18">
      <c r="AD4452" s="93"/>
      <c r="AE4452" s="215"/>
      <c r="AF4452" s="93"/>
      <c r="AG4452" s="93"/>
      <c r="AH4452" s="93"/>
      <c r="AI4452" s="93"/>
      <c r="AJ4452" s="93"/>
    </row>
    <row r="4453" spans="30:36" ht="18">
      <c r="AD4453" s="93"/>
      <c r="AE4453" s="214"/>
      <c r="AF4453" s="93"/>
      <c r="AG4453" s="93"/>
      <c r="AH4453" s="93"/>
      <c r="AI4453" s="93"/>
      <c r="AJ4453" s="93"/>
    </row>
    <row r="4454" spans="30:36" ht="18">
      <c r="AD4454" s="93"/>
      <c r="AE4454" s="214"/>
      <c r="AF4454" s="93"/>
      <c r="AG4454" s="93"/>
      <c r="AH4454" s="93"/>
      <c r="AI4454" s="93"/>
      <c r="AJ4454" s="93"/>
    </row>
    <row r="4455" spans="30:36" ht="18">
      <c r="AD4455" s="93"/>
      <c r="AE4455" s="214"/>
      <c r="AF4455" s="93"/>
      <c r="AG4455" s="93"/>
      <c r="AH4455" s="93"/>
      <c r="AI4455" s="93"/>
      <c r="AJ4455" s="93"/>
    </row>
    <row r="4456" spans="30:36" ht="18">
      <c r="AD4456" s="93"/>
      <c r="AE4456" s="214"/>
      <c r="AF4456" s="93"/>
      <c r="AG4456" s="93"/>
      <c r="AH4456" s="93"/>
      <c r="AI4456" s="93"/>
      <c r="AJ4456" s="93"/>
    </row>
    <row r="4457" spans="30:36" ht="18">
      <c r="AD4457" s="93"/>
      <c r="AE4457" s="215"/>
      <c r="AF4457" s="93"/>
      <c r="AG4457" s="93"/>
      <c r="AH4457" s="93"/>
      <c r="AI4457" s="93"/>
      <c r="AJ4457" s="93"/>
    </row>
    <row r="4458" spans="30:36" ht="18">
      <c r="AD4458" s="93"/>
      <c r="AE4458" s="215"/>
      <c r="AF4458" s="93"/>
      <c r="AG4458" s="93"/>
      <c r="AH4458" s="93"/>
      <c r="AI4458" s="93"/>
      <c r="AJ4458" s="93"/>
    </row>
    <row r="4459" spans="30:36" ht="18">
      <c r="AD4459" s="93"/>
      <c r="AE4459" s="214"/>
      <c r="AF4459" s="93"/>
      <c r="AG4459" s="93"/>
      <c r="AH4459" s="93"/>
      <c r="AI4459" s="93"/>
      <c r="AJ4459" s="93"/>
    </row>
    <row r="4460" spans="30:36" ht="18">
      <c r="AD4460" s="93"/>
      <c r="AE4460" s="214"/>
      <c r="AF4460" s="93"/>
      <c r="AG4460" s="93"/>
      <c r="AH4460" s="93"/>
      <c r="AI4460" s="93"/>
      <c r="AJ4460" s="93"/>
    </row>
    <row r="4461" spans="30:36" ht="18">
      <c r="AD4461" s="93"/>
      <c r="AE4461" s="214"/>
      <c r="AF4461" s="93"/>
      <c r="AG4461" s="93"/>
      <c r="AH4461" s="93"/>
      <c r="AI4461" s="93"/>
      <c r="AJ4461" s="93"/>
    </row>
    <row r="4462" spans="30:36" ht="18">
      <c r="AD4462" s="93"/>
      <c r="AE4462" s="214"/>
      <c r="AF4462" s="93"/>
      <c r="AG4462" s="93"/>
      <c r="AH4462" s="93"/>
      <c r="AI4462" s="93"/>
      <c r="AJ4462" s="93"/>
    </row>
    <row r="4463" spans="30:36" ht="18">
      <c r="AD4463" s="93"/>
      <c r="AE4463" s="214"/>
      <c r="AF4463" s="93"/>
      <c r="AG4463" s="93"/>
      <c r="AH4463" s="93"/>
      <c r="AI4463" s="93"/>
      <c r="AJ4463" s="93"/>
    </row>
    <row r="4464" spans="30:36" ht="18">
      <c r="AD4464" s="93"/>
      <c r="AE4464" s="214"/>
      <c r="AF4464" s="93"/>
      <c r="AG4464" s="93"/>
      <c r="AH4464" s="93"/>
      <c r="AI4464" s="93"/>
      <c r="AJ4464" s="93"/>
    </row>
    <row r="4465" spans="30:36" ht="18">
      <c r="AD4465" s="93"/>
      <c r="AE4465" s="214"/>
      <c r="AF4465" s="93"/>
      <c r="AG4465" s="93"/>
      <c r="AH4465" s="93"/>
      <c r="AI4465" s="93"/>
      <c r="AJ4465" s="93"/>
    </row>
    <row r="4466" spans="30:36" ht="18">
      <c r="AD4466" s="93"/>
      <c r="AE4466" s="214"/>
      <c r="AF4466" s="93"/>
      <c r="AG4466" s="93"/>
      <c r="AH4466" s="93"/>
      <c r="AI4466" s="93"/>
      <c r="AJ4466" s="93"/>
    </row>
    <row r="4467" spans="30:36" ht="18">
      <c r="AD4467" s="93"/>
      <c r="AE4467" s="214"/>
      <c r="AF4467" s="93"/>
      <c r="AG4467" s="93"/>
      <c r="AH4467" s="93"/>
      <c r="AI4467" s="93"/>
      <c r="AJ4467" s="93"/>
    </row>
    <row r="4468" spans="30:36" ht="18">
      <c r="AD4468" s="93"/>
      <c r="AE4468" s="214"/>
      <c r="AF4468" s="93"/>
      <c r="AG4468" s="93"/>
      <c r="AH4468" s="93"/>
      <c r="AI4468" s="93"/>
      <c r="AJ4468" s="93"/>
    </row>
    <row r="4469" spans="30:36" ht="18">
      <c r="AD4469" s="93"/>
      <c r="AE4469" s="214"/>
      <c r="AF4469" s="93"/>
      <c r="AG4469" s="93"/>
      <c r="AH4469" s="93"/>
      <c r="AI4469" s="93"/>
      <c r="AJ4469" s="93"/>
    </row>
    <row r="4470" spans="30:36" ht="18">
      <c r="AD4470" s="93"/>
      <c r="AE4470" s="214"/>
      <c r="AF4470" s="93"/>
      <c r="AG4470" s="93"/>
      <c r="AH4470" s="93"/>
      <c r="AI4470" s="93"/>
      <c r="AJ4470" s="93"/>
    </row>
    <row r="4471" spans="30:36" ht="18">
      <c r="AD4471" s="93"/>
      <c r="AE4471" s="214"/>
      <c r="AF4471" s="93"/>
      <c r="AG4471" s="93"/>
      <c r="AH4471" s="93"/>
      <c r="AI4471" s="93"/>
      <c r="AJ4471" s="93"/>
    </row>
    <row r="4472" spans="30:36" ht="18">
      <c r="AD4472" s="93"/>
      <c r="AE4472" s="215"/>
      <c r="AF4472" s="93"/>
      <c r="AG4472" s="93"/>
      <c r="AH4472" s="93"/>
      <c r="AI4472" s="93"/>
      <c r="AJ4472" s="93"/>
    </row>
    <row r="4473" spans="30:36" ht="18">
      <c r="AD4473" s="93"/>
      <c r="AE4473" s="214"/>
      <c r="AF4473" s="93"/>
      <c r="AG4473" s="93"/>
      <c r="AH4473" s="93"/>
      <c r="AI4473" s="93"/>
      <c r="AJ4473" s="93"/>
    </row>
    <row r="4474" spans="30:36" ht="18">
      <c r="AD4474" s="93"/>
      <c r="AE4474" s="214"/>
      <c r="AF4474" s="93"/>
      <c r="AG4474" s="93"/>
      <c r="AH4474" s="93"/>
      <c r="AI4474" s="93"/>
      <c r="AJ4474" s="93"/>
    </row>
    <row r="4475" spans="30:36" ht="18">
      <c r="AD4475" s="93"/>
      <c r="AE4475" s="214"/>
      <c r="AF4475" s="93"/>
      <c r="AG4475" s="93"/>
      <c r="AH4475" s="93"/>
      <c r="AI4475" s="93"/>
      <c r="AJ4475" s="93"/>
    </row>
    <row r="4476" spans="30:36" ht="18">
      <c r="AD4476" s="93"/>
      <c r="AE4476" s="214"/>
      <c r="AF4476" s="93"/>
      <c r="AG4476" s="93"/>
      <c r="AH4476" s="93"/>
      <c r="AI4476" s="93"/>
      <c r="AJ4476" s="93"/>
    </row>
    <row r="4477" spans="30:36" ht="18">
      <c r="AD4477" s="93"/>
      <c r="AE4477" s="215"/>
      <c r="AF4477" s="93"/>
      <c r="AG4477" s="93"/>
      <c r="AH4477" s="93"/>
      <c r="AI4477" s="93"/>
      <c r="AJ4477" s="93"/>
    </row>
    <row r="4478" spans="30:36" ht="18">
      <c r="AD4478" s="93"/>
      <c r="AE4478" s="215"/>
      <c r="AF4478" s="93"/>
      <c r="AG4478" s="93"/>
      <c r="AH4478" s="93"/>
      <c r="AI4478" s="93"/>
      <c r="AJ4478" s="93"/>
    </row>
    <row r="4479" spans="30:36" ht="18">
      <c r="AD4479" s="93"/>
      <c r="AE4479" s="214"/>
      <c r="AF4479" s="93"/>
      <c r="AG4479" s="93"/>
      <c r="AH4479" s="93"/>
      <c r="AI4479" s="93"/>
      <c r="AJ4479" s="93"/>
    </row>
    <row r="4480" spans="30:36" ht="18">
      <c r="AD4480" s="93"/>
      <c r="AE4480" s="214"/>
      <c r="AF4480" s="93"/>
      <c r="AG4480" s="93"/>
      <c r="AH4480" s="93"/>
      <c r="AI4480" s="93"/>
      <c r="AJ4480" s="93"/>
    </row>
    <row r="4481" spans="30:36" ht="18">
      <c r="AD4481" s="93"/>
      <c r="AE4481" s="214"/>
      <c r="AF4481" s="93"/>
      <c r="AG4481" s="93"/>
      <c r="AH4481" s="93"/>
      <c r="AI4481" s="93"/>
      <c r="AJ4481" s="93"/>
    </row>
    <row r="4482" spans="30:36" ht="18">
      <c r="AD4482" s="93"/>
      <c r="AE4482" s="214"/>
      <c r="AF4482" s="93"/>
      <c r="AG4482" s="93"/>
      <c r="AH4482" s="93"/>
      <c r="AI4482" s="93"/>
      <c r="AJ4482" s="93"/>
    </row>
    <row r="4483" spans="30:36" ht="18">
      <c r="AD4483" s="93"/>
      <c r="AE4483" s="214"/>
      <c r="AF4483" s="93"/>
      <c r="AG4483" s="93"/>
      <c r="AH4483" s="93"/>
      <c r="AI4483" s="93"/>
      <c r="AJ4483" s="93"/>
    </row>
    <row r="4484" spans="30:36" ht="18">
      <c r="AD4484" s="93"/>
      <c r="AE4484" s="214"/>
      <c r="AF4484" s="93"/>
      <c r="AG4484" s="93"/>
      <c r="AH4484" s="93"/>
      <c r="AI4484" s="93"/>
      <c r="AJ4484" s="93"/>
    </row>
    <row r="4485" spans="30:36" ht="18">
      <c r="AD4485" s="93"/>
      <c r="AE4485" s="214"/>
      <c r="AF4485" s="93"/>
      <c r="AG4485" s="93"/>
      <c r="AH4485" s="93"/>
      <c r="AI4485" s="93"/>
      <c r="AJ4485" s="93"/>
    </row>
    <row r="4486" spans="30:36" ht="18">
      <c r="AD4486" s="93"/>
      <c r="AE4486" s="214"/>
      <c r="AF4486" s="93"/>
      <c r="AG4486" s="93"/>
      <c r="AH4486" s="93"/>
      <c r="AI4486" s="93"/>
      <c r="AJ4486" s="93"/>
    </row>
    <row r="4487" spans="30:36" ht="18">
      <c r="AD4487" s="93"/>
      <c r="AE4487" s="214"/>
      <c r="AF4487" s="93"/>
      <c r="AG4487" s="93"/>
      <c r="AH4487" s="93"/>
      <c r="AI4487" s="93"/>
      <c r="AJ4487" s="93"/>
    </row>
    <row r="4488" spans="30:36" ht="18">
      <c r="AD4488" s="93"/>
      <c r="AE4488" s="214"/>
      <c r="AF4488" s="93"/>
      <c r="AG4488" s="93"/>
      <c r="AH4488" s="93"/>
      <c r="AI4488" s="93"/>
      <c r="AJ4488" s="93"/>
    </row>
    <row r="4489" spans="30:36" ht="18">
      <c r="AD4489" s="93"/>
      <c r="AE4489" s="214"/>
      <c r="AF4489" s="93"/>
      <c r="AG4489" s="93"/>
      <c r="AH4489" s="93"/>
      <c r="AI4489" s="93"/>
      <c r="AJ4489" s="93"/>
    </row>
    <row r="4490" spans="30:36" ht="18">
      <c r="AD4490" s="93"/>
      <c r="AE4490" s="214"/>
      <c r="AF4490" s="93"/>
      <c r="AG4490" s="93"/>
      <c r="AH4490" s="93"/>
      <c r="AI4490" s="93"/>
      <c r="AJ4490" s="93"/>
    </row>
    <row r="4491" spans="30:36" ht="18">
      <c r="AD4491" s="93"/>
      <c r="AE4491" s="214"/>
      <c r="AF4491" s="93"/>
      <c r="AG4491" s="93"/>
      <c r="AH4491" s="93"/>
      <c r="AI4491" s="93"/>
      <c r="AJ4491" s="93"/>
    </row>
    <row r="4492" spans="30:36" ht="18">
      <c r="AD4492" s="93"/>
      <c r="AE4492" s="214"/>
      <c r="AF4492" s="93"/>
      <c r="AG4492" s="93"/>
      <c r="AH4492" s="93"/>
      <c r="AI4492" s="93"/>
      <c r="AJ4492" s="93"/>
    </row>
    <row r="4493" spans="30:36" ht="18">
      <c r="AD4493" s="93"/>
      <c r="AE4493" s="214"/>
      <c r="AF4493" s="93"/>
      <c r="AG4493" s="93"/>
      <c r="AH4493" s="93"/>
      <c r="AI4493" s="93"/>
      <c r="AJ4493" s="93"/>
    </row>
    <row r="4494" spans="30:36" ht="18">
      <c r="AD4494" s="93"/>
      <c r="AE4494" s="215"/>
      <c r="AF4494" s="93"/>
      <c r="AG4494" s="93"/>
      <c r="AH4494" s="93"/>
      <c r="AI4494" s="93"/>
      <c r="AJ4494" s="93"/>
    </row>
    <row r="4495" spans="30:36" ht="18">
      <c r="AD4495" s="93"/>
      <c r="AE4495" s="214"/>
      <c r="AF4495" s="93"/>
      <c r="AG4495" s="93"/>
      <c r="AH4495" s="93"/>
      <c r="AI4495" s="93"/>
      <c r="AJ4495" s="93"/>
    </row>
    <row r="4496" spans="30:36" ht="18">
      <c r="AD4496" s="93"/>
      <c r="AE4496" s="214"/>
      <c r="AF4496" s="93"/>
      <c r="AG4496" s="93"/>
      <c r="AH4496" s="93"/>
      <c r="AI4496" s="93"/>
      <c r="AJ4496" s="93"/>
    </row>
    <row r="4497" spans="30:36" ht="18">
      <c r="AD4497" s="93"/>
      <c r="AE4497" s="214"/>
      <c r="AF4497" s="93"/>
      <c r="AG4497" s="93"/>
      <c r="AH4497" s="93"/>
      <c r="AI4497" s="93"/>
      <c r="AJ4497" s="93"/>
    </row>
    <row r="4498" spans="30:36" ht="18">
      <c r="AD4498" s="93"/>
      <c r="AE4498" s="214"/>
      <c r="AF4498" s="93"/>
      <c r="AG4498" s="93"/>
      <c r="AH4498" s="93"/>
      <c r="AI4498" s="93"/>
      <c r="AJ4498" s="93"/>
    </row>
    <row r="4499" spans="30:36" ht="18">
      <c r="AD4499" s="93"/>
      <c r="AE4499" s="214"/>
      <c r="AF4499" s="93"/>
      <c r="AG4499" s="93"/>
      <c r="AH4499" s="93"/>
      <c r="AI4499" s="93"/>
      <c r="AJ4499" s="93"/>
    </row>
    <row r="4500" spans="30:36" ht="18">
      <c r="AD4500" s="93"/>
      <c r="AE4500" s="214"/>
      <c r="AF4500" s="93"/>
      <c r="AG4500" s="93"/>
      <c r="AH4500" s="93"/>
      <c r="AI4500" s="93"/>
      <c r="AJ4500" s="93"/>
    </row>
    <row r="4501" spans="30:36" ht="18">
      <c r="AD4501" s="93"/>
      <c r="AE4501" s="214"/>
      <c r="AF4501" s="93"/>
      <c r="AG4501" s="93"/>
      <c r="AH4501" s="93"/>
      <c r="AI4501" s="93"/>
      <c r="AJ4501" s="93"/>
    </row>
    <row r="4502" spans="30:36" ht="18">
      <c r="AD4502" s="93"/>
      <c r="AE4502" s="215"/>
      <c r="AF4502" s="93"/>
      <c r="AG4502" s="93"/>
      <c r="AH4502" s="93"/>
      <c r="AI4502" s="93"/>
      <c r="AJ4502" s="93"/>
    </row>
    <row r="4503" spans="30:36" ht="18">
      <c r="AD4503" s="93"/>
      <c r="AE4503" s="215"/>
      <c r="AF4503" s="93"/>
      <c r="AG4503" s="93"/>
      <c r="AH4503" s="93"/>
      <c r="AI4503" s="93"/>
      <c r="AJ4503" s="93"/>
    </row>
    <row r="4504" spans="30:36" ht="18">
      <c r="AD4504" s="93"/>
      <c r="AE4504" s="214"/>
      <c r="AF4504" s="93"/>
      <c r="AG4504" s="93"/>
      <c r="AH4504" s="93"/>
      <c r="AI4504" s="93"/>
      <c r="AJ4504" s="93"/>
    </row>
    <row r="4505" spans="30:36" ht="18">
      <c r="AD4505" s="93"/>
      <c r="AE4505" s="214"/>
      <c r="AF4505" s="93"/>
      <c r="AG4505" s="93"/>
      <c r="AH4505" s="93"/>
      <c r="AI4505" s="93"/>
      <c r="AJ4505" s="93"/>
    </row>
    <row r="4506" spans="30:36" ht="18">
      <c r="AD4506" s="93"/>
      <c r="AE4506" s="214"/>
      <c r="AF4506" s="93"/>
      <c r="AG4506" s="93"/>
      <c r="AH4506" s="93"/>
      <c r="AI4506" s="93"/>
      <c r="AJ4506" s="93"/>
    </row>
    <row r="4507" spans="30:36" ht="18">
      <c r="AD4507" s="93"/>
      <c r="AE4507" s="214"/>
      <c r="AF4507" s="93"/>
      <c r="AG4507" s="93"/>
      <c r="AH4507" s="93"/>
      <c r="AI4507" s="93"/>
      <c r="AJ4507" s="93"/>
    </row>
    <row r="4508" spans="30:36" ht="18">
      <c r="AD4508" s="93"/>
      <c r="AE4508" s="214"/>
      <c r="AF4508" s="93"/>
      <c r="AG4508" s="93"/>
      <c r="AH4508" s="93"/>
      <c r="AI4508" s="93"/>
      <c r="AJ4508" s="93"/>
    </row>
    <row r="4509" spans="30:36" ht="18">
      <c r="AD4509" s="93"/>
      <c r="AE4509" s="214"/>
      <c r="AF4509" s="93"/>
      <c r="AG4509" s="93"/>
      <c r="AH4509" s="93"/>
      <c r="AI4509" s="93"/>
      <c r="AJ4509" s="93"/>
    </row>
    <row r="4510" spans="30:36" ht="18">
      <c r="AD4510" s="93"/>
      <c r="AE4510" s="214"/>
      <c r="AF4510" s="93"/>
      <c r="AG4510" s="93"/>
      <c r="AH4510" s="93"/>
      <c r="AI4510" s="93"/>
      <c r="AJ4510" s="93"/>
    </row>
    <row r="4511" spans="30:36" ht="18">
      <c r="AD4511" s="93"/>
      <c r="AE4511" s="214"/>
      <c r="AF4511" s="93"/>
      <c r="AG4511" s="93"/>
      <c r="AH4511" s="93"/>
      <c r="AI4511" s="93"/>
      <c r="AJ4511" s="93"/>
    </row>
    <row r="4512" spans="30:36" ht="18">
      <c r="AD4512" s="93"/>
      <c r="AE4512" s="214"/>
      <c r="AF4512" s="93"/>
      <c r="AG4512" s="93"/>
      <c r="AH4512" s="93"/>
      <c r="AI4512" s="93"/>
      <c r="AJ4512" s="93"/>
    </row>
    <row r="4513" spans="30:36" ht="18">
      <c r="AD4513" s="93"/>
      <c r="AE4513" s="214"/>
      <c r="AF4513" s="93"/>
      <c r="AG4513" s="93"/>
      <c r="AH4513" s="93"/>
      <c r="AI4513" s="93"/>
      <c r="AJ4513" s="93"/>
    </row>
    <row r="4514" spans="30:36" ht="18">
      <c r="AD4514" s="93"/>
      <c r="AE4514" s="214"/>
      <c r="AF4514" s="93"/>
      <c r="AG4514" s="93"/>
      <c r="AH4514" s="93"/>
      <c r="AI4514" s="93"/>
      <c r="AJ4514" s="93"/>
    </row>
    <row r="4515" spans="30:36" ht="18">
      <c r="AD4515" s="93"/>
      <c r="AE4515" s="214"/>
      <c r="AF4515" s="93"/>
      <c r="AG4515" s="93"/>
      <c r="AH4515" s="93"/>
      <c r="AI4515" s="93"/>
      <c r="AJ4515" s="93"/>
    </row>
    <row r="4516" spans="30:36" ht="18">
      <c r="AD4516" s="93"/>
      <c r="AE4516" s="214"/>
      <c r="AF4516" s="93"/>
      <c r="AG4516" s="93"/>
      <c r="AH4516" s="93"/>
      <c r="AI4516" s="93"/>
      <c r="AJ4516" s="93"/>
    </row>
    <row r="4517" spans="30:36" ht="18">
      <c r="AD4517" s="93"/>
      <c r="AE4517" s="214"/>
      <c r="AF4517" s="93"/>
      <c r="AG4517" s="93"/>
      <c r="AH4517" s="93"/>
      <c r="AI4517" s="93"/>
      <c r="AJ4517" s="93"/>
    </row>
    <row r="4518" spans="30:36" ht="18">
      <c r="AD4518" s="93"/>
      <c r="AE4518" s="215"/>
      <c r="AF4518" s="93"/>
      <c r="AG4518" s="93"/>
      <c r="AH4518" s="93"/>
      <c r="AI4518" s="93"/>
      <c r="AJ4518" s="93"/>
    </row>
    <row r="4519" spans="30:36" ht="18">
      <c r="AD4519" s="93"/>
      <c r="AE4519" s="214"/>
      <c r="AF4519" s="93"/>
      <c r="AG4519" s="93"/>
      <c r="AH4519" s="93"/>
      <c r="AI4519" s="93"/>
      <c r="AJ4519" s="93"/>
    </row>
    <row r="4520" spans="30:36" ht="18">
      <c r="AD4520" s="93"/>
      <c r="AE4520" s="214"/>
      <c r="AF4520" s="93"/>
      <c r="AG4520" s="93"/>
      <c r="AH4520" s="93"/>
      <c r="AI4520" s="93"/>
      <c r="AJ4520" s="93"/>
    </row>
    <row r="4521" spans="30:36" ht="18">
      <c r="AD4521" s="93"/>
      <c r="AE4521" s="214"/>
      <c r="AF4521" s="93"/>
      <c r="AG4521" s="93"/>
      <c r="AH4521" s="93"/>
      <c r="AI4521" s="93"/>
      <c r="AJ4521" s="93"/>
    </row>
    <row r="4522" spans="30:36" ht="18">
      <c r="AD4522" s="93"/>
      <c r="AE4522" s="214"/>
      <c r="AF4522" s="93"/>
      <c r="AG4522" s="93"/>
      <c r="AH4522" s="93"/>
      <c r="AI4522" s="93"/>
      <c r="AJ4522" s="93"/>
    </row>
    <row r="4523" spans="30:36" ht="18">
      <c r="AD4523" s="93"/>
      <c r="AE4523" s="214"/>
      <c r="AF4523" s="93"/>
      <c r="AG4523" s="93"/>
      <c r="AH4523" s="93"/>
      <c r="AI4523" s="93"/>
      <c r="AJ4523" s="93"/>
    </row>
    <row r="4524" spans="30:36" ht="18">
      <c r="AD4524" s="93"/>
      <c r="AE4524" s="214"/>
      <c r="AF4524" s="93"/>
      <c r="AG4524" s="93"/>
      <c r="AH4524" s="93"/>
      <c r="AI4524" s="93"/>
      <c r="AJ4524" s="93"/>
    </row>
    <row r="4525" spans="30:36" ht="18">
      <c r="AD4525" s="93"/>
      <c r="AE4525" s="214"/>
      <c r="AF4525" s="93"/>
      <c r="AG4525" s="93"/>
      <c r="AH4525" s="93"/>
      <c r="AI4525" s="93"/>
      <c r="AJ4525" s="93"/>
    </row>
    <row r="4526" spans="30:36" ht="18">
      <c r="AD4526" s="93"/>
      <c r="AE4526" s="214"/>
      <c r="AF4526" s="93"/>
      <c r="AG4526" s="93"/>
      <c r="AH4526" s="93"/>
      <c r="AI4526" s="93"/>
      <c r="AJ4526" s="93"/>
    </row>
    <row r="4527" spans="30:36" ht="18">
      <c r="AD4527" s="93"/>
      <c r="AE4527" s="214"/>
      <c r="AF4527" s="93"/>
      <c r="AG4527" s="93"/>
      <c r="AH4527" s="93"/>
      <c r="AI4527" s="93"/>
      <c r="AJ4527" s="93"/>
    </row>
    <row r="4528" spans="30:36" ht="18">
      <c r="AD4528" s="93"/>
      <c r="AE4528" s="214"/>
      <c r="AF4528" s="93"/>
      <c r="AG4528" s="93"/>
      <c r="AH4528" s="93"/>
      <c r="AI4528" s="93"/>
      <c r="AJ4528" s="93"/>
    </row>
    <row r="4529" spans="30:36" ht="18">
      <c r="AD4529" s="93"/>
      <c r="AE4529" s="214"/>
      <c r="AF4529" s="93"/>
      <c r="AG4529" s="93"/>
      <c r="AH4529" s="93"/>
      <c r="AI4529" s="93"/>
      <c r="AJ4529" s="93"/>
    </row>
    <row r="4530" spans="30:36" ht="18">
      <c r="AD4530" s="93"/>
      <c r="AE4530" s="214"/>
      <c r="AF4530" s="93"/>
      <c r="AG4530" s="93"/>
      <c r="AH4530" s="93"/>
      <c r="AI4530" s="93"/>
      <c r="AJ4530" s="93"/>
    </row>
    <row r="4531" spans="30:36" ht="18">
      <c r="AD4531" s="93"/>
      <c r="AE4531" s="214"/>
      <c r="AF4531" s="93"/>
      <c r="AG4531" s="93"/>
      <c r="AH4531" s="93"/>
      <c r="AI4531" s="93"/>
      <c r="AJ4531" s="93"/>
    </row>
    <row r="4532" spans="30:36" ht="18">
      <c r="AD4532" s="93"/>
      <c r="AE4532" s="214"/>
      <c r="AF4532" s="93"/>
      <c r="AG4532" s="93"/>
      <c r="AH4532" s="93"/>
      <c r="AI4532" s="93"/>
      <c r="AJ4532" s="93"/>
    </row>
    <row r="4533" spans="30:36" ht="18">
      <c r="AD4533" s="93"/>
      <c r="AE4533" s="214"/>
      <c r="AF4533" s="93"/>
      <c r="AG4533" s="93"/>
      <c r="AH4533" s="93"/>
      <c r="AI4533" s="93"/>
      <c r="AJ4533" s="93"/>
    </row>
    <row r="4534" spans="30:36" ht="18">
      <c r="AD4534" s="93"/>
      <c r="AE4534" s="214"/>
      <c r="AF4534" s="93"/>
      <c r="AG4534" s="93"/>
      <c r="AH4534" s="93"/>
      <c r="AI4534" s="93"/>
      <c r="AJ4534" s="93"/>
    </row>
    <row r="4535" spans="30:36" ht="18">
      <c r="AD4535" s="93"/>
      <c r="AE4535" s="214"/>
      <c r="AF4535" s="93"/>
      <c r="AG4535" s="93"/>
      <c r="AH4535" s="93"/>
      <c r="AI4535" s="93"/>
      <c r="AJ4535" s="93"/>
    </row>
    <row r="4536" spans="30:36" ht="18">
      <c r="AD4536" s="93"/>
      <c r="AE4536" s="214"/>
      <c r="AF4536" s="93"/>
      <c r="AG4536" s="93"/>
      <c r="AH4536" s="93"/>
      <c r="AI4536" s="93"/>
      <c r="AJ4536" s="93"/>
    </row>
    <row r="4537" spans="30:36" ht="18">
      <c r="AD4537" s="93"/>
      <c r="AE4537" s="214"/>
      <c r="AF4537" s="93"/>
      <c r="AG4537" s="93"/>
      <c r="AH4537" s="93"/>
      <c r="AI4537" s="93"/>
      <c r="AJ4537" s="93"/>
    </row>
    <row r="4538" spans="30:36" ht="18">
      <c r="AD4538" s="93"/>
      <c r="AE4538" s="214"/>
      <c r="AF4538" s="93"/>
      <c r="AG4538" s="93"/>
      <c r="AH4538" s="93"/>
      <c r="AI4538" s="93"/>
      <c r="AJ4538" s="93"/>
    </row>
    <row r="4539" spans="30:36" ht="18">
      <c r="AD4539" s="93"/>
      <c r="AE4539" s="214"/>
      <c r="AF4539" s="93"/>
      <c r="AG4539" s="93"/>
      <c r="AH4539" s="93"/>
      <c r="AI4539" s="93"/>
      <c r="AJ4539" s="93"/>
    </row>
    <row r="4540" spans="30:36" ht="18">
      <c r="AD4540" s="93"/>
      <c r="AE4540" s="214"/>
      <c r="AF4540" s="93"/>
      <c r="AG4540" s="93"/>
      <c r="AH4540" s="93"/>
      <c r="AI4540" s="93"/>
      <c r="AJ4540" s="93"/>
    </row>
    <row r="4541" spans="30:36" ht="18">
      <c r="AD4541" s="93"/>
      <c r="AE4541" s="214"/>
      <c r="AF4541" s="93"/>
      <c r="AG4541" s="93"/>
      <c r="AH4541" s="93"/>
      <c r="AI4541" s="93"/>
      <c r="AJ4541" s="93"/>
    </row>
    <row r="4542" spans="30:36" ht="18">
      <c r="AD4542" s="93"/>
      <c r="AE4542" s="214"/>
      <c r="AF4542" s="93"/>
      <c r="AG4542" s="93"/>
      <c r="AH4542" s="93"/>
      <c r="AI4542" s="93"/>
      <c r="AJ4542" s="93"/>
    </row>
    <row r="4543" spans="30:36" ht="18">
      <c r="AD4543" s="93"/>
      <c r="AE4543" s="214"/>
      <c r="AF4543" s="93"/>
      <c r="AG4543" s="93"/>
      <c r="AH4543" s="93"/>
      <c r="AI4543" s="93"/>
      <c r="AJ4543" s="93"/>
    </row>
    <row r="4544" spans="30:36" ht="18">
      <c r="AD4544" s="93"/>
      <c r="AE4544" s="214"/>
      <c r="AF4544" s="93"/>
      <c r="AG4544" s="93"/>
      <c r="AH4544" s="93"/>
      <c r="AI4544" s="93"/>
      <c r="AJ4544" s="93"/>
    </row>
    <row r="4545" spans="30:36" ht="18">
      <c r="AD4545" s="93"/>
      <c r="AE4545" s="214"/>
      <c r="AF4545" s="93"/>
      <c r="AG4545" s="93"/>
      <c r="AH4545" s="93"/>
      <c r="AI4545" s="93"/>
      <c r="AJ4545" s="93"/>
    </row>
    <row r="4546" spans="30:36" ht="18">
      <c r="AD4546" s="93"/>
      <c r="AE4546" s="214"/>
      <c r="AF4546" s="93"/>
      <c r="AG4546" s="93"/>
      <c r="AH4546" s="93"/>
      <c r="AI4546" s="93"/>
      <c r="AJ4546" s="93"/>
    </row>
    <row r="4547" spans="30:36" ht="18">
      <c r="AD4547" s="93"/>
      <c r="AE4547" s="214"/>
      <c r="AF4547" s="93"/>
      <c r="AG4547" s="93"/>
      <c r="AH4547" s="93"/>
      <c r="AI4547" s="93"/>
      <c r="AJ4547" s="93"/>
    </row>
    <row r="4548" spans="30:36" ht="18">
      <c r="AD4548" s="93"/>
      <c r="AE4548" s="215"/>
      <c r="AF4548" s="93"/>
      <c r="AG4548" s="93"/>
      <c r="AH4548" s="93"/>
      <c r="AI4548" s="93"/>
      <c r="AJ4548" s="93"/>
    </row>
    <row r="4549" spans="30:36" ht="18">
      <c r="AD4549" s="93"/>
      <c r="AE4549" s="214"/>
      <c r="AF4549" s="93"/>
      <c r="AG4549" s="93"/>
      <c r="AH4549" s="93"/>
      <c r="AI4549" s="93"/>
      <c r="AJ4549" s="93"/>
    </row>
    <row r="4550" spans="30:36" ht="18">
      <c r="AD4550" s="93"/>
      <c r="AE4550" s="214"/>
      <c r="AF4550" s="93"/>
      <c r="AG4550" s="93"/>
      <c r="AH4550" s="93"/>
      <c r="AI4550" s="93"/>
      <c r="AJ4550" s="93"/>
    </row>
    <row r="4551" spans="30:36" ht="18">
      <c r="AD4551" s="93"/>
      <c r="AE4551" s="214"/>
      <c r="AF4551" s="93"/>
      <c r="AG4551" s="93"/>
      <c r="AH4551" s="93"/>
      <c r="AI4551" s="93"/>
      <c r="AJ4551" s="93"/>
    </row>
    <row r="4552" spans="30:36" ht="18">
      <c r="AD4552" s="93"/>
      <c r="AE4552" s="214"/>
      <c r="AF4552" s="93"/>
      <c r="AG4552" s="93"/>
      <c r="AH4552" s="93"/>
      <c r="AI4552" s="93"/>
      <c r="AJ4552" s="93"/>
    </row>
    <row r="4553" spans="30:36" ht="18">
      <c r="AD4553" s="93"/>
      <c r="AE4553" s="214"/>
      <c r="AF4553" s="93"/>
      <c r="AG4553" s="93"/>
      <c r="AH4553" s="93"/>
      <c r="AI4553" s="93"/>
      <c r="AJ4553" s="93"/>
    </row>
    <row r="4554" spans="30:36" ht="18">
      <c r="AD4554" s="93"/>
      <c r="AE4554" s="214"/>
      <c r="AF4554" s="93"/>
      <c r="AG4554" s="93"/>
      <c r="AH4554" s="93"/>
      <c r="AI4554" s="93"/>
      <c r="AJ4554" s="93"/>
    </row>
    <row r="4555" spans="30:36" ht="18">
      <c r="AD4555" s="93"/>
      <c r="AE4555" s="214"/>
      <c r="AF4555" s="93"/>
      <c r="AG4555" s="93"/>
      <c r="AH4555" s="93"/>
      <c r="AI4555" s="93"/>
      <c r="AJ4555" s="93"/>
    </row>
    <row r="4556" spans="30:36" ht="18">
      <c r="AD4556" s="93"/>
      <c r="AE4556" s="214"/>
      <c r="AF4556" s="93"/>
      <c r="AG4556" s="93"/>
      <c r="AH4556" s="93"/>
      <c r="AI4556" s="93"/>
      <c r="AJ4556" s="93"/>
    </row>
    <row r="4557" spans="30:36" ht="18">
      <c r="AD4557" s="93"/>
      <c r="AE4557" s="214"/>
      <c r="AF4557" s="93"/>
      <c r="AG4557" s="93"/>
      <c r="AH4557" s="93"/>
      <c r="AI4557" s="93"/>
      <c r="AJ4557" s="93"/>
    </row>
    <row r="4558" spans="30:36" ht="18">
      <c r="AD4558" s="93"/>
      <c r="AE4558" s="214"/>
      <c r="AF4558" s="93"/>
      <c r="AG4558" s="93"/>
      <c r="AH4558" s="93"/>
      <c r="AI4558" s="93"/>
      <c r="AJ4558" s="93"/>
    </row>
    <row r="4559" spans="30:36" ht="18">
      <c r="AD4559" s="93"/>
      <c r="AE4559" s="214"/>
      <c r="AF4559" s="93"/>
      <c r="AG4559" s="93"/>
      <c r="AH4559" s="93"/>
      <c r="AI4559" s="93"/>
      <c r="AJ4559" s="93"/>
    </row>
    <row r="4560" spans="30:36" ht="18">
      <c r="AD4560" s="93"/>
      <c r="AE4560" s="214"/>
      <c r="AF4560" s="93"/>
      <c r="AG4560" s="93"/>
      <c r="AH4560" s="93"/>
      <c r="AI4560" s="93"/>
      <c r="AJ4560" s="93"/>
    </row>
    <row r="4561" spans="30:36" ht="18">
      <c r="AD4561" s="93"/>
      <c r="AE4561" s="214"/>
      <c r="AF4561" s="93"/>
      <c r="AG4561" s="93"/>
      <c r="AH4561" s="93"/>
      <c r="AI4561" s="93"/>
      <c r="AJ4561" s="93"/>
    </row>
    <row r="4562" spans="30:36" ht="18">
      <c r="AD4562" s="93"/>
      <c r="AE4562" s="214"/>
      <c r="AF4562" s="93"/>
      <c r="AG4562" s="93"/>
      <c r="AH4562" s="93"/>
      <c r="AI4562" s="93"/>
      <c r="AJ4562" s="93"/>
    </row>
    <row r="4563" spans="30:36" ht="18">
      <c r="AD4563" s="93"/>
      <c r="AE4563" s="214"/>
      <c r="AF4563" s="93"/>
      <c r="AG4563" s="93"/>
      <c r="AH4563" s="93"/>
      <c r="AI4563" s="93"/>
      <c r="AJ4563" s="93"/>
    </row>
    <row r="4564" spans="30:36" ht="18">
      <c r="AD4564" s="93"/>
      <c r="AE4564" s="214"/>
      <c r="AF4564" s="93"/>
      <c r="AG4564" s="93"/>
      <c r="AH4564" s="93"/>
      <c r="AI4564" s="93"/>
      <c r="AJ4564" s="93"/>
    </row>
    <row r="4565" spans="30:36" ht="18">
      <c r="AD4565" s="93"/>
      <c r="AE4565" s="214"/>
      <c r="AF4565" s="93"/>
      <c r="AG4565" s="93"/>
      <c r="AH4565" s="93"/>
      <c r="AI4565" s="93"/>
      <c r="AJ4565" s="93"/>
    </row>
    <row r="4566" spans="30:36" ht="18">
      <c r="AD4566" s="93"/>
      <c r="AE4566" s="214"/>
      <c r="AF4566" s="93"/>
      <c r="AG4566" s="93"/>
      <c r="AH4566" s="93"/>
      <c r="AI4566" s="93"/>
      <c r="AJ4566" s="93"/>
    </row>
    <row r="4567" spans="30:36" ht="18">
      <c r="AD4567" s="93"/>
      <c r="AE4567" s="214"/>
      <c r="AF4567" s="93"/>
      <c r="AG4567" s="93"/>
      <c r="AH4567" s="93"/>
      <c r="AI4567" s="93"/>
      <c r="AJ4567" s="93"/>
    </row>
    <row r="4568" spans="30:36" ht="18">
      <c r="AD4568" s="93"/>
      <c r="AE4568" s="214"/>
      <c r="AF4568" s="93"/>
      <c r="AG4568" s="93"/>
      <c r="AH4568" s="93"/>
      <c r="AI4568" s="93"/>
      <c r="AJ4568" s="93"/>
    </row>
    <row r="4569" spans="30:36" ht="18">
      <c r="AD4569" s="93"/>
      <c r="AE4569" s="214"/>
      <c r="AF4569" s="93"/>
      <c r="AG4569" s="93"/>
      <c r="AH4569" s="93"/>
      <c r="AI4569" s="93"/>
      <c r="AJ4569" s="93"/>
    </row>
    <row r="4570" spans="30:36" ht="18">
      <c r="AD4570" s="93"/>
      <c r="AE4570" s="214"/>
      <c r="AF4570" s="93"/>
      <c r="AG4570" s="93"/>
      <c r="AH4570" s="93"/>
      <c r="AI4570" s="93"/>
      <c r="AJ4570" s="93"/>
    </row>
    <row r="4571" spans="30:36" ht="18">
      <c r="AD4571" s="93"/>
      <c r="AE4571" s="214"/>
      <c r="AF4571" s="93"/>
      <c r="AG4571" s="93"/>
      <c r="AH4571" s="93"/>
      <c r="AI4571" s="93"/>
      <c r="AJ4571" s="93"/>
    </row>
    <row r="4572" spans="30:36" ht="18">
      <c r="AD4572" s="93"/>
      <c r="AE4572" s="214"/>
      <c r="AF4572" s="93"/>
      <c r="AG4572" s="93"/>
      <c r="AH4572" s="93"/>
      <c r="AI4572" s="93"/>
      <c r="AJ4572" s="93"/>
    </row>
    <row r="4573" spans="30:36" ht="18">
      <c r="AD4573" s="93"/>
      <c r="AE4573" s="214"/>
      <c r="AF4573" s="93"/>
      <c r="AG4573" s="93"/>
      <c r="AH4573" s="93"/>
      <c r="AI4573" s="93"/>
      <c r="AJ4573" s="93"/>
    </row>
    <row r="4574" spans="30:36" ht="18">
      <c r="AD4574" s="93"/>
      <c r="AE4574" s="214"/>
      <c r="AF4574" s="93"/>
      <c r="AG4574" s="93"/>
      <c r="AH4574" s="93"/>
      <c r="AI4574" s="93"/>
      <c r="AJ4574" s="93"/>
    </row>
    <row r="4575" spans="30:36" ht="18">
      <c r="AD4575" s="93"/>
      <c r="AE4575" s="214"/>
      <c r="AF4575" s="93"/>
      <c r="AG4575" s="93"/>
      <c r="AH4575" s="93"/>
      <c r="AI4575" s="93"/>
      <c r="AJ4575" s="93"/>
    </row>
    <row r="4576" spans="30:36" ht="18">
      <c r="AD4576" s="93"/>
      <c r="AE4576" s="214"/>
      <c r="AF4576" s="93"/>
      <c r="AG4576" s="93"/>
      <c r="AH4576" s="93"/>
      <c r="AI4576" s="93"/>
      <c r="AJ4576" s="93"/>
    </row>
    <row r="4577" spans="30:36" ht="18">
      <c r="AD4577" s="93"/>
      <c r="AE4577" s="214"/>
      <c r="AF4577" s="93"/>
      <c r="AG4577" s="93"/>
      <c r="AH4577" s="93"/>
      <c r="AI4577" s="93"/>
      <c r="AJ4577" s="93"/>
    </row>
    <row r="4578" spans="30:36" ht="18">
      <c r="AD4578" s="93"/>
      <c r="AE4578" s="214"/>
      <c r="AF4578" s="93"/>
      <c r="AG4578" s="93"/>
      <c r="AH4578" s="93"/>
      <c r="AI4578" s="93"/>
      <c r="AJ4578" s="93"/>
    </row>
    <row r="4579" spans="30:36" ht="18">
      <c r="AD4579" s="93"/>
      <c r="AE4579" s="214"/>
      <c r="AF4579" s="93"/>
      <c r="AG4579" s="93"/>
      <c r="AH4579" s="93"/>
      <c r="AI4579" s="93"/>
      <c r="AJ4579" s="93"/>
    </row>
    <row r="4580" spans="30:36" ht="18">
      <c r="AD4580" s="93"/>
      <c r="AE4580" s="214"/>
      <c r="AF4580" s="93"/>
      <c r="AG4580" s="93"/>
      <c r="AH4580" s="93"/>
      <c r="AI4580" s="93"/>
      <c r="AJ4580" s="93"/>
    </row>
    <row r="4581" spans="30:36" ht="18">
      <c r="AD4581" s="93"/>
      <c r="AE4581" s="214"/>
      <c r="AF4581" s="93"/>
      <c r="AG4581" s="93"/>
      <c r="AH4581" s="93"/>
      <c r="AI4581" s="93"/>
      <c r="AJ4581" s="93"/>
    </row>
    <row r="4582" spans="30:36" ht="18">
      <c r="AD4582" s="93"/>
      <c r="AE4582" s="214"/>
      <c r="AF4582" s="93"/>
      <c r="AG4582" s="93"/>
      <c r="AH4582" s="93"/>
      <c r="AI4582" s="93"/>
      <c r="AJ4582" s="93"/>
    </row>
    <row r="4583" spans="30:36" ht="18">
      <c r="AD4583" s="93"/>
      <c r="AE4583" s="214"/>
      <c r="AF4583" s="93"/>
      <c r="AG4583" s="93"/>
      <c r="AH4583" s="93"/>
      <c r="AI4583" s="93"/>
      <c r="AJ4583" s="93"/>
    </row>
    <row r="4584" spans="30:36" ht="18">
      <c r="AD4584" s="93"/>
      <c r="AE4584" s="215"/>
      <c r="AF4584" s="93"/>
      <c r="AG4584" s="93"/>
      <c r="AH4584" s="93"/>
      <c r="AI4584" s="93"/>
      <c r="AJ4584" s="93"/>
    </row>
    <row r="4585" spans="30:36" ht="18">
      <c r="AD4585" s="93"/>
      <c r="AE4585" s="215"/>
      <c r="AF4585" s="93"/>
      <c r="AG4585" s="93"/>
      <c r="AH4585" s="93"/>
      <c r="AI4585" s="93"/>
      <c r="AJ4585" s="93"/>
    </row>
    <row r="4586" spans="30:36" ht="18">
      <c r="AD4586" s="93"/>
      <c r="AE4586" s="214"/>
      <c r="AF4586" s="93"/>
      <c r="AG4586" s="93"/>
      <c r="AH4586" s="93"/>
      <c r="AI4586" s="93"/>
      <c r="AJ4586" s="93"/>
    </row>
    <row r="4587" spans="30:36" ht="18">
      <c r="AD4587" s="93"/>
      <c r="AE4587" s="214"/>
      <c r="AF4587" s="93"/>
      <c r="AG4587" s="93"/>
      <c r="AH4587" s="93"/>
      <c r="AI4587" s="93"/>
      <c r="AJ4587" s="93"/>
    </row>
    <row r="4588" spans="30:36" ht="18">
      <c r="AD4588" s="93"/>
      <c r="AE4588" s="214"/>
      <c r="AF4588" s="93"/>
      <c r="AG4588" s="93"/>
      <c r="AH4588" s="93"/>
      <c r="AI4588" s="93"/>
      <c r="AJ4588" s="93"/>
    </row>
    <row r="4589" spans="30:36" ht="18">
      <c r="AD4589" s="93"/>
      <c r="AE4589" s="214"/>
      <c r="AF4589" s="93"/>
      <c r="AG4589" s="93"/>
      <c r="AH4589" s="93"/>
      <c r="AI4589" s="93"/>
      <c r="AJ4589" s="93"/>
    </row>
    <row r="4590" spans="30:36" ht="18">
      <c r="AD4590" s="93"/>
      <c r="AE4590" s="214"/>
      <c r="AF4590" s="93"/>
      <c r="AG4590" s="93"/>
      <c r="AH4590" s="93"/>
      <c r="AI4590" s="93"/>
      <c r="AJ4590" s="93"/>
    </row>
    <row r="4591" spans="30:36" ht="18">
      <c r="AD4591" s="93"/>
      <c r="AE4591" s="214"/>
      <c r="AF4591" s="93"/>
      <c r="AG4591" s="93"/>
      <c r="AH4591" s="93"/>
      <c r="AI4591" s="93"/>
      <c r="AJ4591" s="93"/>
    </row>
    <row r="4592" spans="30:36" ht="18">
      <c r="AD4592" s="93"/>
      <c r="AE4592" s="214"/>
      <c r="AF4592" s="93"/>
      <c r="AG4592" s="93"/>
      <c r="AH4592" s="93"/>
      <c r="AI4592" s="93"/>
      <c r="AJ4592" s="93"/>
    </row>
    <row r="4593" spans="30:36" ht="18">
      <c r="AD4593" s="93"/>
      <c r="AE4593" s="214"/>
      <c r="AF4593" s="93"/>
      <c r="AG4593" s="93"/>
      <c r="AH4593" s="93"/>
      <c r="AI4593" s="93"/>
      <c r="AJ4593" s="93"/>
    </row>
    <row r="4594" spans="30:36" ht="18">
      <c r="AD4594" s="93"/>
      <c r="AE4594" s="214"/>
      <c r="AF4594" s="93"/>
      <c r="AG4594" s="93"/>
      <c r="AH4594" s="93"/>
      <c r="AI4594" s="93"/>
      <c r="AJ4594" s="93"/>
    </row>
    <row r="4595" spans="30:36" ht="18">
      <c r="AD4595" s="93"/>
      <c r="AE4595" s="215"/>
      <c r="AF4595" s="93"/>
      <c r="AG4595" s="93"/>
      <c r="AH4595" s="93"/>
      <c r="AI4595" s="93"/>
      <c r="AJ4595" s="93"/>
    </row>
    <row r="4596" spans="30:36" ht="18">
      <c r="AD4596" s="93"/>
      <c r="AE4596" s="214"/>
      <c r="AF4596" s="93"/>
      <c r="AG4596" s="93"/>
      <c r="AH4596" s="93"/>
      <c r="AI4596" s="93"/>
      <c r="AJ4596" s="93"/>
    </row>
    <row r="4597" spans="30:36" ht="18">
      <c r="AD4597" s="93"/>
      <c r="AE4597" s="214"/>
      <c r="AF4597" s="93"/>
      <c r="AG4597" s="93"/>
      <c r="AH4597" s="93"/>
      <c r="AI4597" s="93"/>
      <c r="AJ4597" s="93"/>
    </row>
    <row r="4598" spans="30:36" ht="18">
      <c r="AD4598" s="93"/>
      <c r="AE4598" s="214"/>
      <c r="AF4598" s="93"/>
      <c r="AG4598" s="93"/>
      <c r="AH4598" s="93"/>
      <c r="AI4598" s="93"/>
      <c r="AJ4598" s="93"/>
    </row>
    <row r="4599" spans="30:36" ht="18">
      <c r="AD4599" s="93"/>
      <c r="AE4599" s="214"/>
      <c r="AF4599" s="93"/>
      <c r="AG4599" s="93"/>
      <c r="AH4599" s="93"/>
      <c r="AI4599" s="93"/>
      <c r="AJ4599" s="93"/>
    </row>
    <row r="4600" spans="30:36" ht="18">
      <c r="AD4600" s="93"/>
      <c r="AE4600" s="214"/>
      <c r="AF4600" s="93"/>
      <c r="AG4600" s="93"/>
      <c r="AH4600" s="93"/>
      <c r="AI4600" s="93"/>
      <c r="AJ4600" s="93"/>
    </row>
    <row r="4601" spans="30:36" ht="18">
      <c r="AD4601" s="93"/>
      <c r="AE4601" s="214"/>
      <c r="AF4601" s="93"/>
      <c r="AG4601" s="93"/>
      <c r="AH4601" s="93"/>
      <c r="AI4601" s="93"/>
      <c r="AJ4601" s="93"/>
    </row>
    <row r="4602" spans="30:36" ht="18">
      <c r="AD4602" s="93"/>
      <c r="AE4602" s="214"/>
      <c r="AF4602" s="93"/>
      <c r="AG4602" s="93"/>
      <c r="AH4602" s="93"/>
      <c r="AI4602" s="93"/>
      <c r="AJ4602" s="93"/>
    </row>
    <row r="4603" spans="30:36" ht="18">
      <c r="AD4603" s="93"/>
      <c r="AE4603" s="214"/>
      <c r="AF4603" s="93"/>
      <c r="AG4603" s="93"/>
      <c r="AH4603" s="93"/>
      <c r="AI4603" s="93"/>
      <c r="AJ4603" s="93"/>
    </row>
    <row r="4604" spans="30:36" ht="18">
      <c r="AD4604" s="93"/>
      <c r="AE4604" s="214"/>
      <c r="AF4604" s="93"/>
      <c r="AG4604" s="93"/>
      <c r="AH4604" s="93"/>
      <c r="AI4604" s="93"/>
      <c r="AJ4604" s="93"/>
    </row>
    <row r="4605" spans="30:36" ht="18">
      <c r="AD4605" s="93"/>
      <c r="AE4605" s="214"/>
      <c r="AF4605" s="93"/>
      <c r="AG4605" s="93"/>
      <c r="AH4605" s="93"/>
      <c r="AI4605" s="93"/>
      <c r="AJ4605" s="93"/>
    </row>
    <row r="4606" spans="30:36" ht="18">
      <c r="AD4606" s="93"/>
      <c r="AE4606" s="214"/>
      <c r="AF4606" s="93"/>
      <c r="AG4606" s="93"/>
      <c r="AH4606" s="93"/>
      <c r="AI4606" s="93"/>
      <c r="AJ4606" s="93"/>
    </row>
    <row r="4607" spans="30:36" ht="18">
      <c r="AD4607" s="93"/>
      <c r="AE4607" s="214"/>
      <c r="AF4607" s="93"/>
      <c r="AG4607" s="93"/>
      <c r="AH4607" s="93"/>
      <c r="AI4607" s="93"/>
      <c r="AJ4607" s="93"/>
    </row>
    <row r="4608" spans="30:36" ht="18">
      <c r="AD4608" s="93"/>
      <c r="AE4608" s="214"/>
      <c r="AF4608" s="93"/>
      <c r="AG4608" s="93"/>
      <c r="AH4608" s="93"/>
      <c r="AI4608" s="93"/>
      <c r="AJ4608" s="93"/>
    </row>
    <row r="4609" spans="30:36" ht="18">
      <c r="AD4609" s="93"/>
      <c r="AE4609" s="214"/>
      <c r="AF4609" s="93"/>
      <c r="AG4609" s="93"/>
      <c r="AH4609" s="93"/>
      <c r="AI4609" s="93"/>
      <c r="AJ4609" s="93"/>
    </row>
    <row r="4610" spans="30:36" ht="18">
      <c r="AD4610" s="93"/>
      <c r="AE4610" s="215"/>
      <c r="AF4610" s="93"/>
      <c r="AG4610" s="93"/>
      <c r="AH4610" s="93"/>
      <c r="AI4610" s="93"/>
      <c r="AJ4610" s="93"/>
    </row>
    <row r="4611" spans="30:36" ht="18">
      <c r="AD4611" s="93"/>
      <c r="AE4611" s="214"/>
      <c r="AF4611" s="93"/>
      <c r="AG4611" s="93"/>
      <c r="AH4611" s="93"/>
      <c r="AI4611" s="93"/>
      <c r="AJ4611" s="93"/>
    </row>
    <row r="4612" spans="30:36" ht="18">
      <c r="AD4612" s="93"/>
      <c r="AE4612" s="214"/>
      <c r="AF4612" s="93"/>
      <c r="AG4612" s="93"/>
      <c r="AH4612" s="93"/>
      <c r="AI4612" s="93"/>
      <c r="AJ4612" s="93"/>
    </row>
    <row r="4613" spans="30:36" ht="18">
      <c r="AD4613" s="93"/>
      <c r="AE4613" s="214"/>
      <c r="AF4613" s="93"/>
      <c r="AG4613" s="93"/>
      <c r="AH4613" s="93"/>
      <c r="AI4613" s="93"/>
      <c r="AJ4613" s="93"/>
    </row>
    <row r="4614" spans="30:36" ht="18">
      <c r="AD4614" s="93"/>
      <c r="AE4614" s="214"/>
      <c r="AF4614" s="93"/>
      <c r="AG4614" s="93"/>
      <c r="AH4614" s="93"/>
      <c r="AI4614" s="93"/>
      <c r="AJ4614" s="93"/>
    </row>
    <row r="4615" spans="30:36" ht="18">
      <c r="AD4615" s="93"/>
      <c r="AE4615" s="214"/>
      <c r="AF4615" s="93"/>
      <c r="AG4615" s="93"/>
      <c r="AH4615" s="93"/>
      <c r="AI4615" s="93"/>
      <c r="AJ4615" s="93"/>
    </row>
    <row r="4616" spans="30:36" ht="18">
      <c r="AD4616" s="93"/>
      <c r="AE4616" s="214"/>
      <c r="AF4616" s="93"/>
      <c r="AG4616" s="93"/>
      <c r="AH4616" s="93"/>
      <c r="AI4616" s="93"/>
      <c r="AJ4616" s="93"/>
    </row>
    <row r="4617" spans="30:36" ht="18">
      <c r="AD4617" s="93"/>
      <c r="AE4617" s="214"/>
      <c r="AF4617" s="93"/>
      <c r="AG4617" s="93"/>
      <c r="AH4617" s="93"/>
      <c r="AI4617" s="93"/>
      <c r="AJ4617" s="93"/>
    </row>
    <row r="4618" spans="30:36" ht="18">
      <c r="AD4618" s="93"/>
      <c r="AE4618" s="214"/>
      <c r="AF4618" s="93"/>
      <c r="AG4618" s="93"/>
      <c r="AH4618" s="93"/>
      <c r="AI4618" s="93"/>
      <c r="AJ4618" s="93"/>
    </row>
    <row r="4619" spans="30:36" ht="18">
      <c r="AD4619" s="93"/>
      <c r="AE4619" s="214"/>
      <c r="AF4619" s="93"/>
      <c r="AG4619" s="93"/>
      <c r="AH4619" s="93"/>
      <c r="AI4619" s="93"/>
      <c r="AJ4619" s="93"/>
    </row>
    <row r="4620" spans="30:36" ht="18">
      <c r="AD4620" s="93"/>
      <c r="AE4620" s="215"/>
      <c r="AF4620" s="93"/>
      <c r="AG4620" s="93"/>
      <c r="AH4620" s="93"/>
      <c r="AI4620" s="93"/>
      <c r="AJ4620" s="93"/>
    </row>
    <row r="4621" spans="30:36" ht="18">
      <c r="AD4621" s="93"/>
      <c r="AE4621" s="214"/>
      <c r="AF4621" s="93"/>
      <c r="AG4621" s="93"/>
      <c r="AH4621" s="93"/>
      <c r="AI4621" s="93"/>
      <c r="AJ4621" s="93"/>
    </row>
    <row r="4622" spans="30:36" ht="18">
      <c r="AD4622" s="93"/>
      <c r="AE4622" s="214"/>
      <c r="AF4622" s="93"/>
      <c r="AG4622" s="93"/>
      <c r="AH4622" s="93"/>
      <c r="AI4622" s="93"/>
      <c r="AJ4622" s="93"/>
    </row>
    <row r="4623" spans="30:36" ht="18">
      <c r="AD4623" s="93"/>
      <c r="AE4623" s="214"/>
      <c r="AF4623" s="93"/>
      <c r="AG4623" s="93"/>
      <c r="AH4623" s="93"/>
      <c r="AI4623" s="93"/>
      <c r="AJ4623" s="93"/>
    </row>
    <row r="4624" spans="30:36" ht="18">
      <c r="AD4624" s="93"/>
      <c r="AE4624" s="214"/>
      <c r="AF4624" s="93"/>
      <c r="AG4624" s="93"/>
      <c r="AH4624" s="93"/>
      <c r="AI4624" s="93"/>
      <c r="AJ4624" s="93"/>
    </row>
    <row r="4625" spans="30:36" ht="18">
      <c r="AD4625" s="93"/>
      <c r="AE4625" s="214"/>
      <c r="AF4625" s="93"/>
      <c r="AG4625" s="93"/>
      <c r="AH4625" s="93"/>
      <c r="AI4625" s="93"/>
      <c r="AJ4625" s="93"/>
    </row>
    <row r="4626" spans="30:36" ht="18">
      <c r="AD4626" s="93"/>
      <c r="AE4626" s="214"/>
      <c r="AF4626" s="93"/>
      <c r="AG4626" s="93"/>
      <c r="AH4626" s="93"/>
      <c r="AI4626" s="93"/>
      <c r="AJ4626" s="93"/>
    </row>
    <row r="4627" spans="30:36" ht="18">
      <c r="AD4627" s="93"/>
      <c r="AE4627" s="214"/>
      <c r="AF4627" s="93"/>
      <c r="AG4627" s="93"/>
      <c r="AH4627" s="93"/>
      <c r="AI4627" s="93"/>
      <c r="AJ4627" s="93"/>
    </row>
    <row r="4628" spans="30:36" ht="18">
      <c r="AD4628" s="93"/>
      <c r="AE4628" s="214"/>
      <c r="AF4628" s="93"/>
      <c r="AG4628" s="93"/>
      <c r="AH4628" s="93"/>
      <c r="AI4628" s="93"/>
      <c r="AJ4628" s="93"/>
    </row>
    <row r="4629" spans="30:36" ht="18">
      <c r="AD4629" s="93"/>
      <c r="AE4629" s="214"/>
      <c r="AF4629" s="93"/>
      <c r="AG4629" s="93"/>
      <c r="AH4629" s="93"/>
      <c r="AI4629" s="93"/>
      <c r="AJ4629" s="93"/>
    </row>
    <row r="4630" spans="30:36" ht="18">
      <c r="AD4630" s="93"/>
      <c r="AE4630" s="214"/>
      <c r="AF4630" s="93"/>
      <c r="AG4630" s="93"/>
      <c r="AH4630" s="93"/>
      <c r="AI4630" s="93"/>
      <c r="AJ4630" s="93"/>
    </row>
    <row r="4631" spans="30:36" ht="18">
      <c r="AD4631" s="93"/>
      <c r="AE4631" s="214"/>
      <c r="AF4631" s="93"/>
      <c r="AG4631" s="93"/>
      <c r="AH4631" s="93"/>
      <c r="AI4631" s="93"/>
      <c r="AJ4631" s="93"/>
    </row>
    <row r="4632" spans="30:36" ht="18">
      <c r="AD4632" s="93"/>
      <c r="AE4632" s="214"/>
      <c r="AF4632" s="93"/>
      <c r="AG4632" s="93"/>
      <c r="AH4632" s="93"/>
      <c r="AI4632" s="93"/>
      <c r="AJ4632" s="93"/>
    </row>
    <row r="4633" spans="30:36" ht="18">
      <c r="AD4633" s="93"/>
      <c r="AE4633" s="214"/>
      <c r="AF4633" s="93"/>
      <c r="AG4633" s="93"/>
      <c r="AH4633" s="93"/>
      <c r="AI4633" s="93"/>
      <c r="AJ4633" s="93"/>
    </row>
    <row r="4634" spans="30:36" ht="18">
      <c r="AD4634" s="93"/>
      <c r="AE4634" s="214"/>
      <c r="AF4634" s="93"/>
      <c r="AG4634" s="93"/>
      <c r="AH4634" s="93"/>
      <c r="AI4634" s="93"/>
      <c r="AJ4634" s="93"/>
    </row>
    <row r="4635" spans="30:36" ht="18">
      <c r="AD4635" s="93"/>
      <c r="AE4635" s="214"/>
      <c r="AF4635" s="93"/>
      <c r="AG4635" s="93"/>
      <c r="AH4635" s="93"/>
      <c r="AI4635" s="93"/>
      <c r="AJ4635" s="93"/>
    </row>
    <row r="4636" spans="30:36" ht="18">
      <c r="AD4636" s="93"/>
      <c r="AE4636" s="215"/>
      <c r="AF4636" s="93"/>
      <c r="AG4636" s="93"/>
      <c r="AH4636" s="93"/>
      <c r="AI4636" s="93"/>
      <c r="AJ4636" s="93"/>
    </row>
    <row r="4637" spans="30:36" ht="18">
      <c r="AD4637" s="93"/>
      <c r="AE4637" s="214"/>
      <c r="AF4637" s="93"/>
      <c r="AG4637" s="93"/>
      <c r="AH4637" s="93"/>
      <c r="AI4637" s="93"/>
      <c r="AJ4637" s="93"/>
    </row>
    <row r="4638" spans="30:36" ht="18">
      <c r="AD4638" s="93"/>
      <c r="AE4638" s="214"/>
      <c r="AF4638" s="93"/>
      <c r="AG4638" s="93"/>
      <c r="AH4638" s="93"/>
      <c r="AI4638" s="93"/>
      <c r="AJ4638" s="93"/>
    </row>
    <row r="4639" spans="30:36" ht="18">
      <c r="AD4639" s="93"/>
      <c r="AE4639" s="214"/>
      <c r="AF4639" s="93"/>
      <c r="AG4639" s="93"/>
      <c r="AH4639" s="93"/>
      <c r="AI4639" s="93"/>
      <c r="AJ4639" s="93"/>
    </row>
    <row r="4640" spans="30:36" ht="18">
      <c r="AD4640" s="93"/>
      <c r="AE4640" s="214"/>
      <c r="AF4640" s="93"/>
      <c r="AG4640" s="93"/>
      <c r="AH4640" s="93"/>
      <c r="AI4640" s="93"/>
      <c r="AJ4640" s="93"/>
    </row>
    <row r="4641" spans="30:36" ht="18">
      <c r="AD4641" s="93"/>
      <c r="AE4641" s="214"/>
      <c r="AF4641" s="93"/>
      <c r="AG4641" s="93"/>
      <c r="AH4641" s="93"/>
      <c r="AI4641" s="93"/>
      <c r="AJ4641" s="93"/>
    </row>
    <row r="4642" spans="30:36" ht="18">
      <c r="AD4642" s="93"/>
      <c r="AE4642" s="214"/>
      <c r="AF4642" s="93"/>
      <c r="AG4642" s="93"/>
      <c r="AH4642" s="93"/>
      <c r="AI4642" s="93"/>
      <c r="AJ4642" s="93"/>
    </row>
    <row r="4643" spans="30:36" ht="18">
      <c r="AD4643" s="93"/>
      <c r="AE4643" s="214"/>
      <c r="AF4643" s="93"/>
      <c r="AG4643" s="93"/>
      <c r="AH4643" s="93"/>
      <c r="AI4643" s="93"/>
      <c r="AJ4643" s="93"/>
    </row>
    <row r="4644" spans="30:36" ht="18">
      <c r="AD4644" s="93"/>
      <c r="AE4644" s="214"/>
      <c r="AF4644" s="93"/>
      <c r="AG4644" s="93"/>
      <c r="AH4644" s="93"/>
      <c r="AI4644" s="93"/>
      <c r="AJ4644" s="93"/>
    </row>
    <row r="4645" spans="30:36" ht="18">
      <c r="AD4645" s="93"/>
      <c r="AE4645" s="214"/>
      <c r="AF4645" s="93"/>
      <c r="AG4645" s="93"/>
      <c r="AH4645" s="93"/>
      <c r="AI4645" s="93"/>
      <c r="AJ4645" s="93"/>
    </row>
    <row r="4646" spans="30:36" ht="18">
      <c r="AD4646" s="93"/>
      <c r="AE4646" s="214"/>
      <c r="AF4646" s="93"/>
      <c r="AG4646" s="93"/>
      <c r="AH4646" s="93"/>
      <c r="AI4646" s="93"/>
      <c r="AJ4646" s="93"/>
    </row>
    <row r="4647" spans="30:36" ht="18">
      <c r="AD4647" s="93"/>
      <c r="AE4647" s="214"/>
      <c r="AF4647" s="93"/>
      <c r="AG4647" s="93"/>
      <c r="AH4647" s="93"/>
      <c r="AI4647" s="93"/>
      <c r="AJ4647" s="93"/>
    </row>
    <row r="4648" spans="30:36" ht="18">
      <c r="AD4648" s="93"/>
      <c r="AE4648" s="214"/>
      <c r="AF4648" s="93"/>
      <c r="AG4648" s="93"/>
      <c r="AH4648" s="93"/>
      <c r="AI4648" s="93"/>
      <c r="AJ4648" s="93"/>
    </row>
    <row r="4649" spans="30:36" ht="18">
      <c r="AD4649" s="93"/>
      <c r="AE4649" s="214"/>
      <c r="AF4649" s="93"/>
      <c r="AG4649" s="93"/>
      <c r="AH4649" s="93"/>
      <c r="AI4649" s="93"/>
      <c r="AJ4649" s="93"/>
    </row>
    <row r="4650" spans="30:36" ht="18">
      <c r="AD4650" s="93"/>
      <c r="AE4650" s="214"/>
      <c r="AF4650" s="93"/>
      <c r="AG4650" s="93"/>
      <c r="AH4650" s="93"/>
      <c r="AI4650" s="93"/>
      <c r="AJ4650" s="93"/>
    </row>
    <row r="4651" spans="30:36" ht="18">
      <c r="AD4651" s="93"/>
      <c r="AE4651" s="214"/>
      <c r="AF4651" s="93"/>
      <c r="AG4651" s="93"/>
      <c r="AH4651" s="93"/>
      <c r="AI4651" s="93"/>
      <c r="AJ4651" s="93"/>
    </row>
    <row r="4652" spans="30:36" ht="18">
      <c r="AD4652" s="93"/>
      <c r="AE4652" s="214"/>
      <c r="AF4652" s="93"/>
      <c r="AG4652" s="93"/>
      <c r="AH4652" s="93"/>
      <c r="AI4652" s="93"/>
      <c r="AJ4652" s="93"/>
    </row>
    <row r="4653" spans="30:36" ht="18">
      <c r="AD4653" s="93"/>
      <c r="AE4653" s="214"/>
      <c r="AF4653" s="93"/>
      <c r="AG4653" s="93"/>
      <c r="AH4653" s="93"/>
      <c r="AI4653" s="93"/>
      <c r="AJ4653" s="93"/>
    </row>
    <row r="4654" spans="30:36" ht="18">
      <c r="AD4654" s="93"/>
      <c r="AE4654" s="214"/>
      <c r="AF4654" s="93"/>
      <c r="AG4654" s="93"/>
      <c r="AH4654" s="93"/>
      <c r="AI4654" s="93"/>
      <c r="AJ4654" s="93"/>
    </row>
    <row r="4655" spans="30:36" ht="18">
      <c r="AD4655" s="93"/>
      <c r="AE4655" s="214"/>
      <c r="AF4655" s="93"/>
      <c r="AG4655" s="93"/>
      <c r="AH4655" s="93"/>
      <c r="AI4655" s="93"/>
      <c r="AJ4655" s="93"/>
    </row>
    <row r="4656" spans="30:36" ht="18">
      <c r="AD4656" s="93"/>
      <c r="AE4656" s="214"/>
      <c r="AF4656" s="93"/>
      <c r="AG4656" s="93"/>
      <c r="AH4656" s="93"/>
      <c r="AI4656" s="93"/>
      <c r="AJ4656" s="93"/>
    </row>
    <row r="4657" spans="30:36" ht="18">
      <c r="AD4657" s="93"/>
      <c r="AE4657" s="214"/>
      <c r="AF4657" s="93"/>
      <c r="AG4657" s="93"/>
      <c r="AH4657" s="93"/>
      <c r="AI4657" s="93"/>
      <c r="AJ4657" s="93"/>
    </row>
    <row r="4658" spans="30:36" ht="18">
      <c r="AD4658" s="93"/>
      <c r="AE4658" s="214"/>
      <c r="AF4658" s="93"/>
      <c r="AG4658" s="93"/>
      <c r="AH4658" s="93"/>
      <c r="AI4658" s="93"/>
      <c r="AJ4658" s="93"/>
    </row>
    <row r="4659" spans="30:36" ht="18">
      <c r="AD4659" s="93"/>
      <c r="AE4659" s="214"/>
      <c r="AF4659" s="93"/>
      <c r="AG4659" s="93"/>
      <c r="AH4659" s="93"/>
      <c r="AI4659" s="93"/>
      <c r="AJ4659" s="93"/>
    </row>
    <row r="4660" spans="30:36" ht="18">
      <c r="AD4660" s="93"/>
      <c r="AE4660" s="214"/>
      <c r="AF4660" s="93"/>
      <c r="AG4660" s="93"/>
      <c r="AH4660" s="93"/>
      <c r="AI4660" s="93"/>
      <c r="AJ4660" s="93"/>
    </row>
    <row r="4661" spans="30:36" ht="18">
      <c r="AD4661" s="93"/>
      <c r="AE4661" s="214"/>
      <c r="AF4661" s="93"/>
      <c r="AG4661" s="93"/>
      <c r="AH4661" s="93"/>
      <c r="AI4661" s="93"/>
      <c r="AJ4661" s="93"/>
    </row>
    <row r="4662" spans="30:36" ht="18">
      <c r="AD4662" s="93"/>
      <c r="AE4662" s="214"/>
      <c r="AF4662" s="93"/>
      <c r="AG4662" s="93"/>
      <c r="AH4662" s="93"/>
      <c r="AI4662" s="93"/>
      <c r="AJ4662" s="93"/>
    </row>
    <row r="4663" spans="30:36" ht="18">
      <c r="AD4663" s="93"/>
      <c r="AE4663" s="214"/>
      <c r="AF4663" s="93"/>
      <c r="AG4663" s="93"/>
      <c r="AH4663" s="93"/>
      <c r="AI4663" s="93"/>
      <c r="AJ4663" s="93"/>
    </row>
    <row r="4664" spans="30:36" ht="18">
      <c r="AD4664" s="93"/>
      <c r="AE4664" s="214"/>
      <c r="AF4664" s="93"/>
      <c r="AG4664" s="93"/>
      <c r="AH4664" s="93"/>
      <c r="AI4664" s="93"/>
      <c r="AJ4664" s="93"/>
    </row>
    <row r="4665" spans="30:36" ht="18">
      <c r="AD4665" s="93"/>
      <c r="AE4665" s="214"/>
      <c r="AF4665" s="93"/>
      <c r="AG4665" s="93"/>
      <c r="AH4665" s="93"/>
      <c r="AI4665" s="93"/>
      <c r="AJ4665" s="93"/>
    </row>
    <row r="4666" spans="30:36" ht="18">
      <c r="AD4666" s="93"/>
      <c r="AE4666" s="214"/>
      <c r="AF4666" s="93"/>
      <c r="AG4666" s="93"/>
      <c r="AH4666" s="93"/>
      <c r="AI4666" s="93"/>
      <c r="AJ4666" s="93"/>
    </row>
    <row r="4667" spans="30:36" ht="18">
      <c r="AD4667" s="93"/>
      <c r="AE4667" s="214"/>
      <c r="AF4667" s="93"/>
      <c r="AG4667" s="93"/>
      <c r="AH4667" s="93"/>
      <c r="AI4667" s="93"/>
      <c r="AJ4667" s="93"/>
    </row>
    <row r="4668" spans="30:36" ht="18">
      <c r="AD4668" s="93"/>
      <c r="AE4668" s="214"/>
      <c r="AF4668" s="93"/>
      <c r="AG4668" s="93"/>
      <c r="AH4668" s="93"/>
      <c r="AI4668" s="93"/>
      <c r="AJ4668" s="93"/>
    </row>
    <row r="4669" spans="30:36" ht="18">
      <c r="AD4669" s="93"/>
      <c r="AE4669" s="214"/>
      <c r="AF4669" s="93"/>
      <c r="AG4669" s="93"/>
      <c r="AH4669" s="93"/>
      <c r="AI4669" s="93"/>
      <c r="AJ4669" s="93"/>
    </row>
    <row r="4670" spans="30:36" ht="18">
      <c r="AD4670" s="93"/>
      <c r="AE4670" s="214"/>
      <c r="AF4670" s="93"/>
      <c r="AG4670" s="93"/>
      <c r="AH4670" s="93"/>
      <c r="AI4670" s="93"/>
      <c r="AJ4670" s="93"/>
    </row>
    <row r="4671" spans="30:36" ht="18">
      <c r="AD4671" s="93"/>
      <c r="AE4671" s="214"/>
      <c r="AF4671" s="93"/>
      <c r="AG4671" s="93"/>
      <c r="AH4671" s="93"/>
      <c r="AI4671" s="93"/>
      <c r="AJ4671" s="93"/>
    </row>
    <row r="4672" spans="30:36" ht="18">
      <c r="AD4672" s="93"/>
      <c r="AE4672" s="215"/>
      <c r="AF4672" s="93"/>
      <c r="AG4672" s="93"/>
      <c r="AH4672" s="93"/>
      <c r="AI4672" s="93"/>
      <c r="AJ4672" s="93"/>
    </row>
    <row r="4673" spans="30:36" ht="18">
      <c r="AD4673" s="93"/>
      <c r="AE4673" s="215"/>
      <c r="AF4673" s="93"/>
      <c r="AG4673" s="93"/>
      <c r="AH4673" s="93"/>
      <c r="AI4673" s="93"/>
      <c r="AJ4673" s="93"/>
    </row>
    <row r="4674" spans="30:36" ht="18">
      <c r="AD4674" s="93"/>
      <c r="AE4674" s="214"/>
      <c r="AF4674" s="93"/>
      <c r="AG4674" s="93"/>
      <c r="AH4674" s="93"/>
      <c r="AI4674" s="93"/>
      <c r="AJ4674" s="93"/>
    </row>
    <row r="4675" spans="30:36" ht="18">
      <c r="AD4675" s="93"/>
      <c r="AE4675" s="214"/>
      <c r="AF4675" s="93"/>
      <c r="AG4675" s="93"/>
      <c r="AH4675" s="93"/>
      <c r="AI4675" s="93"/>
      <c r="AJ4675" s="93"/>
    </row>
    <row r="4676" spans="30:36" ht="18">
      <c r="AD4676" s="93"/>
      <c r="AE4676" s="214"/>
      <c r="AF4676" s="93"/>
      <c r="AG4676" s="93"/>
      <c r="AH4676" s="93"/>
      <c r="AI4676" s="93"/>
      <c r="AJ4676" s="93"/>
    </row>
    <row r="4677" spans="30:36" ht="18">
      <c r="AD4677" s="93"/>
      <c r="AE4677" s="214"/>
      <c r="AF4677" s="93"/>
      <c r="AG4677" s="93"/>
      <c r="AH4677" s="93"/>
      <c r="AI4677" s="93"/>
      <c r="AJ4677" s="93"/>
    </row>
    <row r="4678" spans="30:36" ht="18">
      <c r="AD4678" s="93"/>
      <c r="AE4678" s="214"/>
      <c r="AF4678" s="93"/>
      <c r="AG4678" s="93"/>
      <c r="AH4678" s="93"/>
      <c r="AI4678" s="93"/>
      <c r="AJ4678" s="93"/>
    </row>
    <row r="4679" spans="30:36" ht="18">
      <c r="AD4679" s="93"/>
      <c r="AE4679" s="215"/>
      <c r="AF4679" s="93"/>
      <c r="AG4679" s="93"/>
      <c r="AH4679" s="93"/>
      <c r="AI4679" s="93"/>
      <c r="AJ4679" s="93"/>
    </row>
    <row r="4680" spans="30:36" ht="18">
      <c r="AD4680" s="93"/>
      <c r="AE4680" s="215"/>
      <c r="AF4680" s="93"/>
      <c r="AG4680" s="93"/>
      <c r="AH4680" s="93"/>
      <c r="AI4680" s="93"/>
      <c r="AJ4680" s="93"/>
    </row>
    <row r="4681" spans="30:36" ht="18">
      <c r="AD4681" s="93"/>
      <c r="AE4681" s="215"/>
      <c r="AF4681" s="93"/>
      <c r="AG4681" s="93"/>
      <c r="AH4681" s="93"/>
      <c r="AI4681" s="93"/>
      <c r="AJ4681" s="93"/>
    </row>
    <row r="4682" spans="30:36" ht="18">
      <c r="AD4682" s="93"/>
      <c r="AE4682" s="214"/>
      <c r="AF4682" s="93"/>
      <c r="AG4682" s="93"/>
      <c r="AH4682" s="93"/>
      <c r="AI4682" s="93"/>
      <c r="AJ4682" s="93"/>
    </row>
    <row r="4683" spans="30:36" ht="18">
      <c r="AD4683" s="93"/>
      <c r="AE4683" s="214"/>
      <c r="AF4683" s="93"/>
      <c r="AG4683" s="93"/>
      <c r="AH4683" s="93"/>
      <c r="AI4683" s="93"/>
      <c r="AJ4683" s="93"/>
    </row>
    <row r="4684" spans="30:36" ht="18">
      <c r="AD4684" s="93"/>
      <c r="AE4684" s="214"/>
      <c r="AF4684" s="93"/>
      <c r="AG4684" s="93"/>
      <c r="AH4684" s="93"/>
      <c r="AI4684" s="93"/>
      <c r="AJ4684" s="93"/>
    </row>
    <row r="4685" spans="30:36" ht="18">
      <c r="AD4685" s="93"/>
      <c r="AE4685" s="214"/>
      <c r="AF4685" s="93"/>
      <c r="AG4685" s="93"/>
      <c r="AH4685" s="93"/>
      <c r="AI4685" s="93"/>
      <c r="AJ4685" s="93"/>
    </row>
    <row r="4686" spans="30:36" ht="18">
      <c r="AD4686" s="93"/>
      <c r="AE4686" s="214"/>
      <c r="AF4686" s="93"/>
      <c r="AG4686" s="93"/>
      <c r="AH4686" s="93"/>
      <c r="AI4686" s="93"/>
      <c r="AJ4686" s="93"/>
    </row>
    <row r="4687" spans="30:36" ht="18">
      <c r="AD4687" s="93"/>
      <c r="AE4687" s="214"/>
      <c r="AF4687" s="93"/>
      <c r="AG4687" s="93"/>
      <c r="AH4687" s="93"/>
      <c r="AI4687" s="93"/>
      <c r="AJ4687" s="93"/>
    </row>
    <row r="4688" spans="30:36" ht="18">
      <c r="AD4688" s="93"/>
      <c r="AE4688" s="215"/>
      <c r="AF4688" s="93"/>
      <c r="AG4688" s="93"/>
      <c r="AH4688" s="93"/>
      <c r="AI4688" s="93"/>
      <c r="AJ4688" s="93"/>
    </row>
    <row r="4689" spans="30:36" ht="18">
      <c r="AD4689" s="93"/>
      <c r="AE4689" s="214"/>
      <c r="AF4689" s="93"/>
      <c r="AG4689" s="93"/>
      <c r="AH4689" s="93"/>
      <c r="AI4689" s="93"/>
      <c r="AJ4689" s="93"/>
    </row>
    <row r="4690" spans="30:36" ht="18">
      <c r="AD4690" s="93"/>
      <c r="AE4690" s="214"/>
      <c r="AF4690" s="93"/>
      <c r="AG4690" s="93"/>
      <c r="AH4690" s="93"/>
      <c r="AI4690" s="93"/>
      <c r="AJ4690" s="93"/>
    </row>
    <row r="4691" spans="30:36" ht="18">
      <c r="AD4691" s="93"/>
      <c r="AE4691" s="215"/>
      <c r="AF4691" s="93"/>
      <c r="AG4691" s="93"/>
      <c r="AH4691" s="93"/>
      <c r="AI4691" s="93"/>
      <c r="AJ4691" s="93"/>
    </row>
    <row r="4692" spans="30:36" ht="18">
      <c r="AD4692" s="93"/>
      <c r="AE4692" s="214"/>
      <c r="AF4692" s="93"/>
      <c r="AG4692" s="93"/>
      <c r="AH4692" s="93"/>
      <c r="AI4692" s="93"/>
      <c r="AJ4692" s="93"/>
    </row>
    <row r="4693" spans="30:36" ht="18">
      <c r="AD4693" s="93"/>
      <c r="AE4693" s="214"/>
      <c r="AF4693" s="93"/>
      <c r="AG4693" s="93"/>
      <c r="AH4693" s="93"/>
      <c r="AI4693" s="93"/>
      <c r="AJ4693" s="93"/>
    </row>
    <row r="4694" spans="30:36" ht="18">
      <c r="AD4694" s="93"/>
      <c r="AE4694" s="214"/>
      <c r="AF4694" s="93"/>
      <c r="AG4694" s="93"/>
      <c r="AH4694" s="93"/>
      <c r="AI4694" s="93"/>
      <c r="AJ4694" s="93"/>
    </row>
    <row r="4695" spans="30:36" ht="18">
      <c r="AD4695" s="93"/>
      <c r="AE4695" s="215"/>
      <c r="AF4695" s="93"/>
      <c r="AG4695" s="93"/>
      <c r="AH4695" s="93"/>
      <c r="AI4695" s="93"/>
      <c r="AJ4695" s="93"/>
    </row>
    <row r="4696" spans="30:36" ht="18">
      <c r="AD4696" s="93"/>
      <c r="AE4696" s="214"/>
      <c r="AF4696" s="93"/>
      <c r="AG4696" s="93"/>
      <c r="AH4696" s="93"/>
      <c r="AI4696" s="93"/>
      <c r="AJ4696" s="93"/>
    </row>
    <row r="4697" spans="30:36" ht="18">
      <c r="AD4697" s="93"/>
      <c r="AE4697" s="214"/>
      <c r="AF4697" s="93"/>
      <c r="AG4697" s="93"/>
      <c r="AH4697" s="93"/>
      <c r="AI4697" s="93"/>
      <c r="AJ4697" s="93"/>
    </row>
    <row r="4698" spans="30:36" ht="18">
      <c r="AD4698" s="93"/>
      <c r="AE4698" s="214"/>
      <c r="AF4698" s="93"/>
      <c r="AG4698" s="93"/>
      <c r="AH4698" s="93"/>
      <c r="AI4698" s="93"/>
      <c r="AJ4698" s="93"/>
    </row>
    <row r="4699" spans="30:36" ht="18">
      <c r="AD4699" s="93"/>
      <c r="AE4699" s="214"/>
      <c r="AF4699" s="93"/>
      <c r="AG4699" s="93"/>
      <c r="AH4699" s="93"/>
      <c r="AI4699" s="93"/>
      <c r="AJ4699" s="93"/>
    </row>
    <row r="4700" spans="30:36" ht="18">
      <c r="AD4700" s="93"/>
      <c r="AE4700" s="214"/>
      <c r="AF4700" s="93"/>
      <c r="AG4700" s="93"/>
      <c r="AH4700" s="93"/>
      <c r="AI4700" s="93"/>
      <c r="AJ4700" s="93"/>
    </row>
    <row r="4701" spans="30:36" ht="18">
      <c r="AD4701" s="93"/>
      <c r="AE4701" s="214"/>
      <c r="AF4701" s="93"/>
      <c r="AG4701" s="93"/>
      <c r="AH4701" s="93"/>
      <c r="AI4701" s="93"/>
      <c r="AJ4701" s="93"/>
    </row>
    <row r="4702" spans="30:36" ht="18">
      <c r="AD4702" s="93"/>
      <c r="AE4702" s="215"/>
      <c r="AF4702" s="93"/>
      <c r="AG4702" s="93"/>
      <c r="AH4702" s="93"/>
      <c r="AI4702" s="93"/>
      <c r="AJ4702" s="93"/>
    </row>
    <row r="4703" spans="30:36" ht="18">
      <c r="AD4703" s="93"/>
      <c r="AE4703" s="214"/>
      <c r="AF4703" s="93"/>
      <c r="AG4703" s="93"/>
      <c r="AH4703" s="93"/>
      <c r="AI4703" s="93"/>
      <c r="AJ4703" s="93"/>
    </row>
    <row r="4704" spans="30:36" ht="18">
      <c r="AD4704" s="93"/>
      <c r="AE4704" s="214"/>
      <c r="AF4704" s="93"/>
      <c r="AG4704" s="93"/>
      <c r="AH4704" s="93"/>
      <c r="AI4704" s="93"/>
      <c r="AJ4704" s="93"/>
    </row>
    <row r="4705" spans="30:36" ht="18">
      <c r="AD4705" s="93"/>
      <c r="AE4705" s="215"/>
      <c r="AF4705" s="93"/>
      <c r="AG4705" s="93"/>
      <c r="AH4705" s="93"/>
      <c r="AI4705" s="93"/>
      <c r="AJ4705" s="93"/>
    </row>
    <row r="4706" spans="30:36" ht="18">
      <c r="AD4706" s="93"/>
      <c r="AE4706" s="214"/>
      <c r="AF4706" s="93"/>
      <c r="AG4706" s="93"/>
      <c r="AH4706" s="93"/>
      <c r="AI4706" s="93"/>
      <c r="AJ4706" s="93"/>
    </row>
    <row r="4707" spans="30:36" ht="18">
      <c r="AD4707" s="93"/>
      <c r="AE4707" s="214"/>
      <c r="AF4707" s="93"/>
      <c r="AG4707" s="93"/>
      <c r="AH4707" s="93"/>
      <c r="AI4707" s="93"/>
      <c r="AJ4707" s="93"/>
    </row>
    <row r="4708" spans="30:36" ht="18">
      <c r="AD4708" s="93"/>
      <c r="AE4708" s="215"/>
      <c r="AF4708" s="93"/>
      <c r="AG4708" s="93"/>
      <c r="AH4708" s="93"/>
      <c r="AI4708" s="93"/>
      <c r="AJ4708" s="93"/>
    </row>
    <row r="4709" spans="30:36" ht="18">
      <c r="AD4709" s="93"/>
      <c r="AE4709" s="214"/>
      <c r="AF4709" s="93"/>
      <c r="AG4709" s="93"/>
      <c r="AH4709" s="93"/>
      <c r="AI4709" s="93"/>
      <c r="AJ4709" s="93"/>
    </row>
    <row r="4710" spans="30:36" ht="18">
      <c r="AD4710" s="93"/>
      <c r="AE4710" s="214"/>
      <c r="AF4710" s="93"/>
      <c r="AG4710" s="93"/>
      <c r="AH4710" s="93"/>
      <c r="AI4710" s="93"/>
      <c r="AJ4710" s="93"/>
    </row>
    <row r="4711" spans="30:36" ht="18">
      <c r="AD4711" s="93"/>
      <c r="AE4711" s="215"/>
      <c r="AF4711" s="93"/>
      <c r="AG4711" s="93"/>
      <c r="AH4711" s="93"/>
      <c r="AI4711" s="93"/>
      <c r="AJ4711" s="93"/>
    </row>
    <row r="4712" spans="30:36" ht="18">
      <c r="AD4712" s="93"/>
      <c r="AE4712" s="214"/>
      <c r="AF4712" s="93"/>
      <c r="AG4712" s="93"/>
      <c r="AH4712" s="93"/>
      <c r="AI4712" s="93"/>
      <c r="AJ4712" s="93"/>
    </row>
    <row r="4713" spans="30:36" ht="18">
      <c r="AD4713" s="93"/>
      <c r="AE4713" s="214"/>
      <c r="AF4713" s="93"/>
      <c r="AG4713" s="93"/>
      <c r="AH4713" s="93"/>
      <c r="AI4713" s="93"/>
      <c r="AJ4713" s="93"/>
    </row>
    <row r="4714" spans="30:36" ht="18">
      <c r="AD4714" s="93"/>
      <c r="AE4714" s="215"/>
      <c r="AF4714" s="93"/>
      <c r="AG4714" s="93"/>
      <c r="AH4714" s="93"/>
      <c r="AI4714" s="93"/>
      <c r="AJ4714" s="93"/>
    </row>
    <row r="4715" spans="30:36" ht="18">
      <c r="AD4715" s="93"/>
      <c r="AE4715" s="214"/>
      <c r="AF4715" s="93"/>
      <c r="AG4715" s="93"/>
      <c r="AH4715" s="93"/>
      <c r="AI4715" s="93"/>
      <c r="AJ4715" s="93"/>
    </row>
    <row r="4716" spans="30:36" ht="18">
      <c r="AD4716" s="93"/>
      <c r="AE4716" s="214"/>
      <c r="AF4716" s="93"/>
      <c r="AG4716" s="93"/>
      <c r="AH4716" s="93"/>
      <c r="AI4716" s="93"/>
      <c r="AJ4716" s="93"/>
    </row>
    <row r="4717" spans="30:36" ht="18">
      <c r="AD4717" s="93"/>
      <c r="AE4717" s="215"/>
      <c r="AF4717" s="93"/>
      <c r="AG4717" s="93"/>
      <c r="AH4717" s="93"/>
      <c r="AI4717" s="93"/>
      <c r="AJ4717" s="93"/>
    </row>
    <row r="4718" spans="30:36" ht="18">
      <c r="AD4718" s="93"/>
      <c r="AE4718" s="214"/>
      <c r="AF4718" s="93"/>
      <c r="AG4718" s="93"/>
      <c r="AH4718" s="93"/>
      <c r="AI4718" s="93"/>
      <c r="AJ4718" s="93"/>
    </row>
    <row r="4719" spans="30:36" ht="18">
      <c r="AD4719" s="93"/>
      <c r="AE4719" s="214"/>
      <c r="AF4719" s="93"/>
      <c r="AG4719" s="93"/>
      <c r="AH4719" s="93"/>
      <c r="AI4719" s="93"/>
      <c r="AJ4719" s="93"/>
    </row>
    <row r="4720" spans="30:36" ht="18">
      <c r="AD4720" s="93"/>
      <c r="AE4720" s="215"/>
      <c r="AF4720" s="93"/>
      <c r="AG4720" s="93"/>
      <c r="AH4720" s="93"/>
      <c r="AI4720" s="93"/>
      <c r="AJ4720" s="93"/>
    </row>
    <row r="4721" spans="30:36" ht="18">
      <c r="AD4721" s="93"/>
      <c r="AE4721" s="214"/>
      <c r="AF4721" s="93"/>
      <c r="AG4721" s="93"/>
      <c r="AH4721" s="93"/>
      <c r="AI4721" s="93"/>
      <c r="AJ4721" s="93"/>
    </row>
    <row r="4722" spans="30:36" ht="18">
      <c r="AD4722" s="93"/>
      <c r="AE4722" s="214"/>
      <c r="AF4722" s="93"/>
      <c r="AG4722" s="93"/>
      <c r="AH4722" s="93"/>
      <c r="AI4722" s="93"/>
      <c r="AJ4722" s="93"/>
    </row>
    <row r="4723" spans="30:36" ht="18">
      <c r="AD4723" s="93"/>
      <c r="AE4723" s="215"/>
      <c r="AF4723" s="93"/>
      <c r="AG4723" s="93"/>
      <c r="AH4723" s="93"/>
      <c r="AI4723" s="93"/>
      <c r="AJ4723" s="93"/>
    </row>
    <row r="4724" spans="30:36" ht="18">
      <c r="AD4724" s="93"/>
      <c r="AE4724" s="214"/>
      <c r="AF4724" s="93"/>
      <c r="AG4724" s="93"/>
      <c r="AH4724" s="93"/>
      <c r="AI4724" s="93"/>
      <c r="AJ4724" s="93"/>
    </row>
    <row r="4725" spans="30:36" ht="18">
      <c r="AD4725" s="93"/>
      <c r="AE4725" s="214"/>
      <c r="AF4725" s="93"/>
      <c r="AG4725" s="93"/>
      <c r="AH4725" s="93"/>
      <c r="AI4725" s="93"/>
      <c r="AJ4725" s="93"/>
    </row>
    <row r="4726" spans="30:36" ht="18">
      <c r="AD4726" s="93"/>
      <c r="AE4726" s="214"/>
      <c r="AF4726" s="93"/>
      <c r="AG4726" s="93"/>
      <c r="AH4726" s="93"/>
      <c r="AI4726" s="93"/>
      <c r="AJ4726" s="93"/>
    </row>
    <row r="4727" spans="30:36" ht="18">
      <c r="AD4727" s="93"/>
      <c r="AE4727" s="214"/>
      <c r="AF4727" s="93"/>
      <c r="AG4727" s="93"/>
      <c r="AH4727" s="93"/>
      <c r="AI4727" s="93"/>
      <c r="AJ4727" s="93"/>
    </row>
    <row r="4728" spans="30:36" ht="18">
      <c r="AD4728" s="93"/>
      <c r="AE4728" s="215"/>
      <c r="AF4728" s="93"/>
      <c r="AG4728" s="93"/>
      <c r="AH4728" s="93"/>
      <c r="AI4728" s="93"/>
      <c r="AJ4728" s="93"/>
    </row>
    <row r="4729" spans="30:36" ht="18">
      <c r="AD4729" s="93"/>
      <c r="AE4729" s="214"/>
      <c r="AF4729" s="93"/>
      <c r="AG4729" s="93"/>
      <c r="AH4729" s="93"/>
      <c r="AI4729" s="93"/>
      <c r="AJ4729" s="93"/>
    </row>
    <row r="4730" spans="30:36" ht="18">
      <c r="AD4730" s="93"/>
      <c r="AE4730" s="214"/>
      <c r="AF4730" s="93"/>
      <c r="AG4730" s="93"/>
      <c r="AH4730" s="93"/>
      <c r="AI4730" s="93"/>
      <c r="AJ4730" s="93"/>
    </row>
    <row r="4731" spans="30:36" ht="18">
      <c r="AD4731" s="93"/>
      <c r="AE4731" s="214"/>
      <c r="AF4731" s="93"/>
      <c r="AG4731" s="93"/>
      <c r="AH4731" s="93"/>
      <c r="AI4731" s="93"/>
      <c r="AJ4731" s="93"/>
    </row>
    <row r="4732" spans="30:36" ht="18">
      <c r="AD4732" s="93"/>
      <c r="AE4732" s="214"/>
      <c r="AF4732" s="93"/>
      <c r="AG4732" s="93"/>
      <c r="AH4732" s="93"/>
      <c r="AI4732" s="93"/>
      <c r="AJ4732" s="93"/>
    </row>
    <row r="4733" spans="30:36" ht="18">
      <c r="AD4733" s="93"/>
      <c r="AE4733" s="214"/>
      <c r="AF4733" s="93"/>
      <c r="AG4733" s="93"/>
      <c r="AH4733" s="93"/>
      <c r="AI4733" s="93"/>
      <c r="AJ4733" s="93"/>
    </row>
    <row r="4734" spans="30:36" ht="18">
      <c r="AD4734" s="93"/>
      <c r="AE4734" s="214"/>
      <c r="AF4734" s="93"/>
      <c r="AG4734" s="93"/>
      <c r="AH4734" s="93"/>
      <c r="AI4734" s="93"/>
      <c r="AJ4734" s="93"/>
    </row>
    <row r="4735" spans="30:36" ht="18">
      <c r="AD4735" s="93"/>
      <c r="AE4735" s="214"/>
      <c r="AF4735" s="93"/>
      <c r="AG4735" s="93"/>
      <c r="AH4735" s="93"/>
      <c r="AI4735" s="93"/>
      <c r="AJ4735" s="93"/>
    </row>
    <row r="4736" spans="30:36" ht="18">
      <c r="AD4736" s="93"/>
      <c r="AE4736" s="214"/>
      <c r="AF4736" s="93"/>
      <c r="AG4736" s="93"/>
      <c r="AH4736" s="93"/>
      <c r="AI4736" s="93"/>
      <c r="AJ4736" s="93"/>
    </row>
    <row r="4737" spans="30:36" ht="18">
      <c r="AD4737" s="93"/>
      <c r="AE4737" s="214"/>
      <c r="AF4737" s="93"/>
      <c r="AG4737" s="93"/>
      <c r="AH4737" s="93"/>
      <c r="AI4737" s="93"/>
      <c r="AJ4737" s="93"/>
    </row>
    <row r="4738" spans="30:36" ht="18">
      <c r="AD4738" s="93"/>
      <c r="AE4738" s="214"/>
      <c r="AF4738" s="93"/>
      <c r="AG4738" s="93"/>
      <c r="AH4738" s="93"/>
      <c r="AI4738" s="93"/>
      <c r="AJ4738" s="93"/>
    </row>
    <row r="4739" spans="30:36" ht="18">
      <c r="AD4739" s="93"/>
      <c r="AE4739" s="214"/>
      <c r="AF4739" s="93"/>
      <c r="AG4739" s="93"/>
      <c r="AH4739" s="93"/>
      <c r="AI4739" s="93"/>
      <c r="AJ4739" s="93"/>
    </row>
    <row r="4740" spans="30:36" ht="18">
      <c r="AD4740" s="93"/>
      <c r="AE4740" s="214"/>
      <c r="AF4740" s="93"/>
      <c r="AG4740" s="93"/>
      <c r="AH4740" s="93"/>
      <c r="AI4740" s="93"/>
      <c r="AJ4740" s="93"/>
    </row>
    <row r="4741" spans="30:36" ht="18">
      <c r="AD4741" s="93"/>
      <c r="AE4741" s="214"/>
      <c r="AF4741" s="93"/>
      <c r="AG4741" s="93"/>
      <c r="AH4741" s="93"/>
      <c r="AI4741" s="93"/>
      <c r="AJ4741" s="93"/>
    </row>
    <row r="4742" spans="30:36" ht="18">
      <c r="AD4742" s="93"/>
      <c r="AE4742" s="215"/>
      <c r="AF4742" s="93"/>
      <c r="AG4742" s="93"/>
      <c r="AH4742" s="93"/>
      <c r="AI4742" s="93"/>
      <c r="AJ4742" s="93"/>
    </row>
    <row r="4743" spans="30:36" ht="18">
      <c r="AD4743" s="93"/>
      <c r="AE4743" s="215"/>
      <c r="AF4743" s="93"/>
      <c r="AG4743" s="93"/>
      <c r="AH4743" s="93"/>
      <c r="AI4743" s="93"/>
      <c r="AJ4743" s="93"/>
    </row>
    <row r="4744" spans="30:36" ht="18">
      <c r="AD4744" s="93"/>
      <c r="AE4744" s="214"/>
      <c r="AF4744" s="93"/>
      <c r="AG4744" s="93"/>
      <c r="AH4744" s="93"/>
      <c r="AI4744" s="93"/>
      <c r="AJ4744" s="93"/>
    </row>
    <row r="4745" spans="30:36" ht="18">
      <c r="AD4745" s="93"/>
      <c r="AE4745" s="214"/>
      <c r="AF4745" s="93"/>
      <c r="AG4745" s="93"/>
      <c r="AH4745" s="93"/>
      <c r="AI4745" s="93"/>
      <c r="AJ4745" s="93"/>
    </row>
    <row r="4746" spans="30:36" ht="18">
      <c r="AD4746" s="93"/>
      <c r="AE4746" s="215"/>
      <c r="AF4746" s="93"/>
      <c r="AG4746" s="93"/>
      <c r="AH4746" s="93"/>
      <c r="AI4746" s="93"/>
      <c r="AJ4746" s="93"/>
    </row>
    <row r="4747" spans="30:36" ht="18">
      <c r="AD4747" s="93"/>
      <c r="AE4747" s="214"/>
      <c r="AF4747" s="93"/>
      <c r="AG4747" s="93"/>
      <c r="AH4747" s="93"/>
      <c r="AI4747" s="93"/>
      <c r="AJ4747" s="93"/>
    </row>
    <row r="4748" spans="30:36" ht="18">
      <c r="AD4748" s="93"/>
      <c r="AE4748" s="214"/>
      <c r="AF4748" s="93"/>
      <c r="AG4748" s="93"/>
      <c r="AH4748" s="93"/>
      <c r="AI4748" s="93"/>
      <c r="AJ4748" s="93"/>
    </row>
    <row r="4749" spans="30:36" ht="18">
      <c r="AD4749" s="93"/>
      <c r="AE4749" s="214"/>
      <c r="AF4749" s="93"/>
      <c r="AG4749" s="93"/>
      <c r="AH4749" s="93"/>
      <c r="AI4749" s="93"/>
      <c r="AJ4749" s="93"/>
    </row>
    <row r="4750" spans="30:36" ht="18">
      <c r="AD4750" s="93"/>
      <c r="AE4750" s="214"/>
      <c r="AF4750" s="93"/>
      <c r="AG4750" s="93"/>
      <c r="AH4750" s="93"/>
      <c r="AI4750" s="93"/>
      <c r="AJ4750" s="93"/>
    </row>
    <row r="4751" spans="30:36" ht="18">
      <c r="AD4751" s="93"/>
      <c r="AE4751" s="214"/>
      <c r="AF4751" s="93"/>
      <c r="AG4751" s="93"/>
      <c r="AH4751" s="93"/>
      <c r="AI4751" s="93"/>
      <c r="AJ4751" s="93"/>
    </row>
    <row r="4752" spans="30:36" ht="18">
      <c r="AD4752" s="93"/>
      <c r="AE4752" s="215"/>
      <c r="AF4752" s="93"/>
      <c r="AG4752" s="93"/>
      <c r="AH4752" s="93"/>
      <c r="AI4752" s="93"/>
      <c r="AJ4752" s="93"/>
    </row>
    <row r="4753" spans="30:36" ht="18">
      <c r="AD4753" s="93"/>
      <c r="AE4753" s="214"/>
      <c r="AF4753" s="93"/>
      <c r="AG4753" s="93"/>
      <c r="AH4753" s="93"/>
      <c r="AI4753" s="93"/>
      <c r="AJ4753" s="93"/>
    </row>
    <row r="4754" spans="30:36" ht="18">
      <c r="AD4754" s="93"/>
      <c r="AE4754" s="214"/>
      <c r="AF4754" s="93"/>
      <c r="AG4754" s="93"/>
      <c r="AH4754" s="93"/>
      <c r="AI4754" s="93"/>
      <c r="AJ4754" s="93"/>
    </row>
    <row r="4755" spans="30:36" ht="18">
      <c r="AD4755" s="93"/>
      <c r="AE4755" s="214"/>
      <c r="AF4755" s="93"/>
      <c r="AG4755" s="93"/>
      <c r="AH4755" s="93"/>
      <c r="AI4755" s="93"/>
      <c r="AJ4755" s="93"/>
    </row>
    <row r="4756" spans="30:36" ht="18">
      <c r="AD4756" s="93"/>
      <c r="AE4756" s="215"/>
      <c r="AF4756" s="93"/>
      <c r="AG4756" s="93"/>
      <c r="AH4756" s="93"/>
      <c r="AI4756" s="93"/>
      <c r="AJ4756" s="93"/>
    </row>
    <row r="4757" spans="30:36" ht="18">
      <c r="AD4757" s="93"/>
      <c r="AE4757" s="214"/>
      <c r="AF4757" s="93"/>
      <c r="AG4757" s="93"/>
      <c r="AH4757" s="93"/>
      <c r="AI4757" s="93"/>
      <c r="AJ4757" s="93"/>
    </row>
    <row r="4758" spans="30:36" ht="18">
      <c r="AD4758" s="93"/>
      <c r="AE4758" s="214"/>
      <c r="AF4758" s="93"/>
      <c r="AG4758" s="93"/>
      <c r="AH4758" s="93"/>
      <c r="AI4758" s="93"/>
      <c r="AJ4758" s="93"/>
    </row>
    <row r="4759" spans="30:36" ht="18">
      <c r="AD4759" s="93"/>
      <c r="AE4759" s="215"/>
      <c r="AF4759" s="93"/>
      <c r="AG4759" s="93"/>
      <c r="AH4759" s="93"/>
      <c r="AI4759" s="93"/>
      <c r="AJ4759" s="93"/>
    </row>
    <row r="4760" spans="30:36" ht="18">
      <c r="AD4760" s="93"/>
      <c r="AE4760" s="214"/>
      <c r="AF4760" s="93"/>
      <c r="AG4760" s="93"/>
      <c r="AH4760" s="93"/>
      <c r="AI4760" s="93"/>
      <c r="AJ4760" s="93"/>
    </row>
    <row r="4761" spans="30:36" ht="18">
      <c r="AD4761" s="93"/>
      <c r="AE4761" s="214"/>
      <c r="AF4761" s="93"/>
      <c r="AG4761" s="93"/>
      <c r="AH4761" s="93"/>
      <c r="AI4761" s="93"/>
      <c r="AJ4761" s="93"/>
    </row>
    <row r="4762" spans="30:36" ht="18">
      <c r="AD4762" s="93"/>
      <c r="AE4762" s="215"/>
      <c r="AF4762" s="93"/>
      <c r="AG4762" s="93"/>
      <c r="AH4762" s="93"/>
      <c r="AI4762" s="93"/>
      <c r="AJ4762" s="93"/>
    </row>
    <row r="4763" spans="30:36" ht="18">
      <c r="AD4763" s="93"/>
      <c r="AE4763" s="214"/>
      <c r="AF4763" s="93"/>
      <c r="AG4763" s="93"/>
      <c r="AH4763" s="93"/>
      <c r="AI4763" s="93"/>
      <c r="AJ4763" s="93"/>
    </row>
    <row r="4764" spans="30:36" ht="18">
      <c r="AD4764" s="93"/>
      <c r="AE4764" s="214"/>
      <c r="AF4764" s="93"/>
      <c r="AG4764" s="93"/>
      <c r="AH4764" s="93"/>
      <c r="AI4764" s="93"/>
      <c r="AJ4764" s="93"/>
    </row>
    <row r="4765" spans="30:36" ht="18">
      <c r="AD4765" s="93"/>
      <c r="AE4765" s="214"/>
      <c r="AF4765" s="93"/>
      <c r="AG4765" s="93"/>
      <c r="AH4765" s="93"/>
      <c r="AI4765" s="93"/>
      <c r="AJ4765" s="93"/>
    </row>
    <row r="4766" spans="30:36" ht="18">
      <c r="AD4766" s="93"/>
      <c r="AE4766" s="215"/>
      <c r="AF4766" s="93"/>
      <c r="AG4766" s="93"/>
      <c r="AH4766" s="93"/>
      <c r="AI4766" s="93"/>
      <c r="AJ4766" s="93"/>
    </row>
    <row r="4767" spans="30:36" ht="18">
      <c r="AD4767" s="93"/>
      <c r="AE4767" s="215"/>
      <c r="AF4767" s="93"/>
      <c r="AG4767" s="93"/>
      <c r="AH4767" s="93"/>
      <c r="AI4767" s="93"/>
      <c r="AJ4767" s="93"/>
    </row>
    <row r="4768" spans="30:36" ht="18">
      <c r="AD4768" s="93"/>
      <c r="AE4768" s="214"/>
      <c r="AF4768" s="93"/>
      <c r="AG4768" s="93"/>
      <c r="AH4768" s="93"/>
      <c r="AI4768" s="93"/>
      <c r="AJ4768" s="93"/>
    </row>
    <row r="4769" spans="30:36" ht="18">
      <c r="AD4769" s="93"/>
      <c r="AE4769" s="214"/>
      <c r="AF4769" s="93"/>
      <c r="AG4769" s="93"/>
      <c r="AH4769" s="93"/>
      <c r="AI4769" s="93"/>
      <c r="AJ4769" s="93"/>
    </row>
    <row r="4770" spans="30:36" ht="18">
      <c r="AD4770" s="93"/>
      <c r="AE4770" s="215"/>
      <c r="AF4770" s="93"/>
      <c r="AG4770" s="93"/>
      <c r="AH4770" s="93"/>
      <c r="AI4770" s="93"/>
      <c r="AJ4770" s="93"/>
    </row>
    <row r="4771" spans="30:36" ht="18">
      <c r="AD4771" s="93"/>
      <c r="AE4771" s="214"/>
      <c r="AF4771" s="93"/>
      <c r="AG4771" s="93"/>
      <c r="AH4771" s="93"/>
      <c r="AI4771" s="93"/>
      <c r="AJ4771" s="93"/>
    </row>
    <row r="4772" spans="30:36" ht="18">
      <c r="AD4772" s="93"/>
      <c r="AE4772" s="214"/>
      <c r="AF4772" s="93"/>
      <c r="AG4772" s="93"/>
      <c r="AH4772" s="93"/>
      <c r="AI4772" s="93"/>
      <c r="AJ4772" s="93"/>
    </row>
    <row r="4773" spans="30:36" ht="18">
      <c r="AD4773" s="93"/>
      <c r="AE4773" s="215"/>
      <c r="AF4773" s="93"/>
      <c r="AG4773" s="93"/>
      <c r="AH4773" s="93"/>
      <c r="AI4773" s="93"/>
      <c r="AJ4773" s="93"/>
    </row>
    <row r="4774" spans="30:36" ht="18">
      <c r="AD4774" s="93"/>
      <c r="AE4774" s="214"/>
      <c r="AF4774" s="93"/>
      <c r="AG4774" s="93"/>
      <c r="AH4774" s="93"/>
      <c r="AI4774" s="93"/>
      <c r="AJ4774" s="93"/>
    </row>
    <row r="4775" spans="30:36" ht="18">
      <c r="AD4775" s="93"/>
      <c r="AE4775" s="214"/>
      <c r="AF4775" s="93"/>
      <c r="AG4775" s="93"/>
      <c r="AH4775" s="93"/>
      <c r="AI4775" s="93"/>
      <c r="AJ4775" s="93"/>
    </row>
    <row r="4776" spans="30:36" ht="18">
      <c r="AD4776" s="93"/>
      <c r="AE4776" s="214"/>
      <c r="AF4776" s="93"/>
      <c r="AG4776" s="93"/>
      <c r="AH4776" s="93"/>
      <c r="AI4776" s="93"/>
      <c r="AJ4776" s="93"/>
    </row>
    <row r="4777" spans="30:36" ht="18">
      <c r="AD4777" s="93"/>
      <c r="AE4777" s="215"/>
      <c r="AF4777" s="93"/>
      <c r="AG4777" s="93"/>
      <c r="AH4777" s="93"/>
      <c r="AI4777" s="93"/>
      <c r="AJ4777" s="93"/>
    </row>
    <row r="4778" spans="30:36" ht="18">
      <c r="AD4778" s="93"/>
      <c r="AE4778" s="215"/>
      <c r="AF4778" s="93"/>
      <c r="AG4778" s="93"/>
      <c r="AH4778" s="93"/>
      <c r="AI4778" s="93"/>
      <c r="AJ4778" s="93"/>
    </row>
    <row r="4779" spans="30:36" ht="18">
      <c r="AD4779" s="93"/>
      <c r="AE4779" s="214"/>
      <c r="AF4779" s="93"/>
      <c r="AG4779" s="93"/>
      <c r="AH4779" s="93"/>
      <c r="AI4779" s="93"/>
      <c r="AJ4779" s="93"/>
    </row>
    <row r="4780" spans="30:36" ht="18">
      <c r="AD4780" s="93"/>
      <c r="AE4780" s="214"/>
      <c r="AF4780" s="93"/>
      <c r="AG4780" s="93"/>
      <c r="AH4780" s="93"/>
      <c r="AI4780" s="93"/>
      <c r="AJ4780" s="93"/>
    </row>
    <row r="4781" spans="30:36" ht="18">
      <c r="AD4781" s="93"/>
      <c r="AE4781" s="214"/>
      <c r="AF4781" s="93"/>
      <c r="AG4781" s="93"/>
      <c r="AH4781" s="93"/>
      <c r="AI4781" s="93"/>
      <c r="AJ4781" s="93"/>
    </row>
    <row r="4782" spans="30:36" ht="18">
      <c r="AD4782" s="93"/>
      <c r="AE4782" s="214"/>
      <c r="AF4782" s="93"/>
      <c r="AG4782" s="93"/>
      <c r="AH4782" s="93"/>
      <c r="AI4782" s="93"/>
      <c r="AJ4782" s="93"/>
    </row>
    <row r="4783" spans="30:36" ht="18">
      <c r="AD4783" s="93"/>
      <c r="AE4783" s="214"/>
      <c r="AF4783" s="93"/>
      <c r="AG4783" s="93"/>
      <c r="AH4783" s="93"/>
      <c r="AI4783" s="93"/>
      <c r="AJ4783" s="93"/>
    </row>
    <row r="4784" spans="30:36" ht="18">
      <c r="AD4784" s="93"/>
      <c r="AE4784" s="215"/>
      <c r="AF4784" s="93"/>
      <c r="AG4784" s="93"/>
      <c r="AH4784" s="93"/>
      <c r="AI4784" s="93"/>
      <c r="AJ4784" s="93"/>
    </row>
    <row r="4785" spans="30:36" ht="18">
      <c r="AD4785" s="93"/>
      <c r="AE4785" s="215"/>
      <c r="AF4785" s="93"/>
      <c r="AG4785" s="93"/>
      <c r="AH4785" s="93"/>
      <c r="AI4785" s="93"/>
      <c r="AJ4785" s="93"/>
    </row>
    <row r="4786" spans="30:36" ht="18">
      <c r="AD4786" s="93"/>
      <c r="AE4786" s="215"/>
      <c r="AF4786" s="93"/>
      <c r="AG4786" s="93"/>
      <c r="AH4786" s="93"/>
      <c r="AI4786" s="93"/>
      <c r="AJ4786" s="93"/>
    </row>
    <row r="4787" spans="30:36" ht="18">
      <c r="AD4787" s="93"/>
      <c r="AE4787" s="214"/>
      <c r="AF4787" s="93"/>
      <c r="AG4787" s="93"/>
      <c r="AH4787" s="93"/>
      <c r="AI4787" s="93"/>
      <c r="AJ4787" s="93"/>
    </row>
    <row r="4788" spans="30:36" ht="18">
      <c r="AD4788" s="93"/>
      <c r="AE4788" s="214"/>
      <c r="AF4788" s="93"/>
      <c r="AG4788" s="93"/>
      <c r="AH4788" s="93"/>
      <c r="AI4788" s="93"/>
      <c r="AJ4788" s="93"/>
    </row>
    <row r="4789" spans="30:36" ht="18">
      <c r="AD4789" s="93"/>
      <c r="AE4789" s="214"/>
      <c r="AF4789" s="93"/>
      <c r="AG4789" s="93"/>
      <c r="AH4789" s="93"/>
      <c r="AI4789" s="93"/>
      <c r="AJ4789" s="93"/>
    </row>
    <row r="4790" spans="30:36" ht="18">
      <c r="AD4790" s="93"/>
      <c r="AE4790" s="215"/>
      <c r="AF4790" s="93"/>
      <c r="AG4790" s="93"/>
      <c r="AH4790" s="93"/>
      <c r="AI4790" s="93"/>
      <c r="AJ4790" s="93"/>
    </row>
    <row r="4791" spans="30:36" ht="18">
      <c r="AD4791" s="93"/>
      <c r="AE4791" s="215"/>
      <c r="AF4791" s="93"/>
      <c r="AG4791" s="93"/>
      <c r="AH4791" s="93"/>
      <c r="AI4791" s="93"/>
      <c r="AJ4791" s="93"/>
    </row>
    <row r="4792" spans="30:36" ht="18">
      <c r="AD4792" s="93"/>
      <c r="AE4792" s="215"/>
      <c r="AF4792" s="93"/>
      <c r="AG4792" s="93"/>
      <c r="AH4792" s="93"/>
      <c r="AI4792" s="93"/>
      <c r="AJ4792" s="93"/>
    </row>
    <row r="4793" spans="30:36" ht="18">
      <c r="AD4793" s="93"/>
      <c r="AE4793" s="214"/>
      <c r="AF4793" s="93"/>
      <c r="AG4793" s="93"/>
      <c r="AH4793" s="93"/>
      <c r="AI4793" s="93"/>
      <c r="AJ4793" s="93"/>
    </row>
    <row r="4794" spans="30:36" ht="18">
      <c r="AD4794" s="93"/>
      <c r="AE4794" s="214"/>
      <c r="AF4794" s="93"/>
      <c r="AG4794" s="93"/>
      <c r="AH4794" s="93"/>
      <c r="AI4794" s="93"/>
      <c r="AJ4794" s="93"/>
    </row>
    <row r="4795" spans="30:36" ht="18">
      <c r="AD4795" s="93"/>
      <c r="AE4795" s="215"/>
      <c r="AF4795" s="93"/>
      <c r="AG4795" s="93"/>
      <c r="AH4795" s="93"/>
      <c r="AI4795" s="93"/>
      <c r="AJ4795" s="93"/>
    </row>
    <row r="4796" spans="30:36" ht="18">
      <c r="AD4796" s="93"/>
      <c r="AE4796" s="214"/>
      <c r="AF4796" s="93"/>
      <c r="AG4796" s="93"/>
      <c r="AH4796" s="93"/>
      <c r="AI4796" s="93"/>
      <c r="AJ4796" s="93"/>
    </row>
    <row r="4797" spans="30:36" ht="18">
      <c r="AD4797" s="93"/>
      <c r="AE4797" s="214"/>
      <c r="AF4797" s="93"/>
      <c r="AG4797" s="93"/>
      <c r="AH4797" s="93"/>
      <c r="AI4797" s="93"/>
      <c r="AJ4797" s="93"/>
    </row>
    <row r="4798" spans="30:36" ht="18">
      <c r="AD4798" s="93"/>
      <c r="AE4798" s="215"/>
      <c r="AF4798" s="93"/>
      <c r="AG4798" s="93"/>
      <c r="AH4798" s="93"/>
      <c r="AI4798" s="93"/>
      <c r="AJ4798" s="93"/>
    </row>
    <row r="4799" spans="30:36" ht="18">
      <c r="AD4799" s="93"/>
      <c r="AE4799" s="214"/>
      <c r="AF4799" s="93"/>
      <c r="AG4799" s="93"/>
      <c r="AH4799" s="93"/>
      <c r="AI4799" s="93"/>
      <c r="AJ4799" s="93"/>
    </row>
    <row r="4800" spans="30:36" ht="18">
      <c r="AD4800" s="93"/>
      <c r="AE4800" s="214"/>
      <c r="AF4800" s="93"/>
      <c r="AG4800" s="93"/>
      <c r="AH4800" s="93"/>
      <c r="AI4800" s="93"/>
      <c r="AJ4800" s="93"/>
    </row>
    <row r="4801" spans="30:36" ht="18">
      <c r="AD4801" s="93"/>
      <c r="AE4801" s="215"/>
      <c r="AF4801" s="93"/>
      <c r="AG4801" s="93"/>
      <c r="AH4801" s="93"/>
      <c r="AI4801" s="93"/>
      <c r="AJ4801" s="93"/>
    </row>
    <row r="4802" spans="30:36" ht="18">
      <c r="AD4802" s="93"/>
      <c r="AE4802" s="214"/>
      <c r="AF4802" s="93"/>
      <c r="AG4802" s="93"/>
      <c r="AH4802" s="93"/>
      <c r="AI4802" s="93"/>
      <c r="AJ4802" s="93"/>
    </row>
    <row r="4803" spans="30:36" ht="18">
      <c r="AD4803" s="93"/>
      <c r="AE4803" s="214"/>
      <c r="AF4803" s="93"/>
      <c r="AG4803" s="93"/>
      <c r="AH4803" s="93"/>
      <c r="AI4803" s="93"/>
      <c r="AJ4803" s="93"/>
    </row>
    <row r="4804" spans="30:36" ht="18">
      <c r="AD4804" s="93"/>
      <c r="AE4804" s="215"/>
      <c r="AF4804" s="93"/>
      <c r="AG4804" s="93"/>
      <c r="AH4804" s="93"/>
      <c r="AI4804" s="93"/>
      <c r="AJ4804" s="93"/>
    </row>
    <row r="4805" spans="30:36" ht="18">
      <c r="AD4805" s="93"/>
      <c r="AE4805" s="214"/>
      <c r="AF4805" s="93"/>
      <c r="AG4805" s="93"/>
      <c r="AH4805" s="93"/>
      <c r="AI4805" s="93"/>
      <c r="AJ4805" s="93"/>
    </row>
    <row r="4806" spans="30:36" ht="18">
      <c r="AD4806" s="93"/>
      <c r="AE4806" s="214"/>
      <c r="AF4806" s="93"/>
      <c r="AG4806" s="93"/>
      <c r="AH4806" s="93"/>
      <c r="AI4806" s="93"/>
      <c r="AJ4806" s="93"/>
    </row>
    <row r="4807" spans="30:36" ht="18">
      <c r="AD4807" s="93"/>
      <c r="AE4807" s="214"/>
      <c r="AF4807" s="93"/>
      <c r="AG4807" s="93"/>
      <c r="AH4807" s="93"/>
      <c r="AI4807" s="93"/>
      <c r="AJ4807" s="93"/>
    </row>
    <row r="4808" spans="30:36" ht="18">
      <c r="AD4808" s="93"/>
      <c r="AE4808" s="214"/>
      <c r="AF4808" s="93"/>
      <c r="AG4808" s="93"/>
      <c r="AH4808" s="93"/>
      <c r="AI4808" s="93"/>
      <c r="AJ4808" s="93"/>
    </row>
    <row r="4809" spans="30:36" ht="18">
      <c r="AD4809" s="93"/>
      <c r="AE4809" s="214"/>
      <c r="AF4809" s="93"/>
      <c r="AG4809" s="93"/>
      <c r="AH4809" s="93"/>
      <c r="AI4809" s="93"/>
      <c r="AJ4809" s="93"/>
    </row>
    <row r="4810" spans="30:36" ht="18">
      <c r="AD4810" s="93"/>
      <c r="AE4810" s="215"/>
      <c r="AF4810" s="93"/>
      <c r="AG4810" s="93"/>
      <c r="AH4810" s="93"/>
      <c r="AI4810" s="93"/>
      <c r="AJ4810" s="93"/>
    </row>
    <row r="4811" spans="30:36" ht="18">
      <c r="AD4811" s="93"/>
      <c r="AE4811" s="215"/>
      <c r="AF4811" s="93"/>
      <c r="AG4811" s="93"/>
      <c r="AH4811" s="93"/>
      <c r="AI4811" s="93"/>
      <c r="AJ4811" s="93"/>
    </row>
    <row r="4812" spans="30:36" ht="18">
      <c r="AD4812" s="93"/>
      <c r="AE4812" s="214"/>
      <c r="AF4812" s="93"/>
      <c r="AG4812" s="93"/>
      <c r="AH4812" s="93"/>
      <c r="AI4812" s="93"/>
      <c r="AJ4812" s="93"/>
    </row>
    <row r="4813" spans="30:36" ht="18">
      <c r="AD4813" s="93"/>
      <c r="AE4813" s="214"/>
      <c r="AF4813" s="93"/>
      <c r="AG4813" s="93"/>
      <c r="AH4813" s="93"/>
      <c r="AI4813" s="93"/>
      <c r="AJ4813" s="93"/>
    </row>
    <row r="4814" spans="30:36" ht="18">
      <c r="AD4814" s="93"/>
      <c r="AE4814" s="214"/>
      <c r="AF4814" s="93"/>
      <c r="AG4814" s="93"/>
      <c r="AH4814" s="93"/>
      <c r="AI4814" s="93"/>
      <c r="AJ4814" s="93"/>
    </row>
    <row r="4815" spans="30:36" ht="18">
      <c r="AD4815" s="93"/>
      <c r="AE4815" s="215"/>
      <c r="AF4815" s="93"/>
      <c r="AG4815" s="93"/>
      <c r="AH4815" s="93"/>
      <c r="AI4815" s="93"/>
      <c r="AJ4815" s="93"/>
    </row>
    <row r="4816" spans="30:36" ht="18">
      <c r="AD4816" s="93"/>
      <c r="AE4816" s="215"/>
      <c r="AF4816" s="93"/>
      <c r="AG4816" s="93"/>
      <c r="AH4816" s="93"/>
      <c r="AI4816" s="93"/>
      <c r="AJ4816" s="93"/>
    </row>
    <row r="4817" spans="30:36" ht="18">
      <c r="AD4817" s="93"/>
      <c r="AE4817" s="214"/>
      <c r="AF4817" s="93"/>
      <c r="AG4817" s="93"/>
      <c r="AH4817" s="93"/>
      <c r="AI4817" s="93"/>
      <c r="AJ4817" s="93"/>
    </row>
    <row r="4818" spans="30:36" ht="18">
      <c r="AD4818" s="93"/>
      <c r="AE4818" s="214"/>
      <c r="AF4818" s="93"/>
      <c r="AG4818" s="93"/>
      <c r="AH4818" s="93"/>
      <c r="AI4818" s="93"/>
      <c r="AJ4818" s="93"/>
    </row>
    <row r="4819" spans="30:36" ht="18">
      <c r="AD4819" s="93"/>
      <c r="AE4819" s="214"/>
      <c r="AF4819" s="93"/>
      <c r="AG4819" s="93"/>
      <c r="AH4819" s="93"/>
      <c r="AI4819" s="93"/>
      <c r="AJ4819" s="93"/>
    </row>
    <row r="4820" spans="30:36" ht="18">
      <c r="AD4820" s="93"/>
      <c r="AE4820" s="214"/>
      <c r="AF4820" s="93"/>
      <c r="AG4820" s="93"/>
      <c r="AH4820" s="93"/>
      <c r="AI4820" s="93"/>
      <c r="AJ4820" s="93"/>
    </row>
    <row r="4821" spans="30:36" ht="18">
      <c r="AD4821" s="93"/>
      <c r="AE4821" s="214"/>
      <c r="AF4821" s="93"/>
      <c r="AG4821" s="93"/>
      <c r="AH4821" s="93"/>
      <c r="AI4821" s="93"/>
      <c r="AJ4821" s="93"/>
    </row>
    <row r="4822" spans="30:36" ht="18">
      <c r="AD4822" s="93"/>
      <c r="AE4822" s="214"/>
      <c r="AF4822" s="93"/>
      <c r="AG4822" s="93"/>
      <c r="AH4822" s="93"/>
      <c r="AI4822" s="93"/>
      <c r="AJ4822" s="93"/>
    </row>
    <row r="4823" spans="30:36" ht="18">
      <c r="AD4823" s="93"/>
      <c r="AE4823" s="214"/>
      <c r="AF4823" s="93"/>
      <c r="AG4823" s="93"/>
      <c r="AH4823" s="93"/>
      <c r="AI4823" s="93"/>
      <c r="AJ4823" s="93"/>
    </row>
    <row r="4824" spans="30:36" ht="18">
      <c r="AD4824" s="93"/>
      <c r="AE4824" s="214"/>
      <c r="AF4824" s="93"/>
      <c r="AG4824" s="93"/>
      <c r="AH4824" s="93"/>
      <c r="AI4824" s="93"/>
      <c r="AJ4824" s="93"/>
    </row>
    <row r="4825" spans="30:36" ht="18">
      <c r="AD4825" s="93"/>
      <c r="AE4825" s="214"/>
      <c r="AF4825" s="93"/>
      <c r="AG4825" s="93"/>
      <c r="AH4825" s="93"/>
      <c r="AI4825" s="93"/>
      <c r="AJ4825" s="93"/>
    </row>
    <row r="4826" spans="30:36" ht="18">
      <c r="AD4826" s="93"/>
      <c r="AE4826" s="214"/>
      <c r="AF4826" s="93"/>
      <c r="AG4826" s="93"/>
      <c r="AH4826" s="93"/>
      <c r="AI4826" s="93"/>
      <c r="AJ4826" s="93"/>
    </row>
    <row r="4827" spans="30:36" ht="18">
      <c r="AD4827" s="93"/>
      <c r="AE4827" s="214"/>
      <c r="AF4827" s="93"/>
      <c r="AG4827" s="93"/>
      <c r="AH4827" s="93"/>
      <c r="AI4827" s="93"/>
      <c r="AJ4827" s="93"/>
    </row>
    <row r="4828" spans="30:36" ht="18">
      <c r="AD4828" s="93"/>
      <c r="AE4828" s="214"/>
      <c r="AF4828" s="93"/>
      <c r="AG4828" s="93"/>
      <c r="AH4828" s="93"/>
      <c r="AI4828" s="93"/>
      <c r="AJ4828" s="93"/>
    </row>
    <row r="4829" spans="30:36" ht="18">
      <c r="AD4829" s="93"/>
      <c r="AE4829" s="214"/>
      <c r="AF4829" s="93"/>
      <c r="AG4829" s="93"/>
      <c r="AH4829" s="93"/>
      <c r="AI4829" s="93"/>
      <c r="AJ4829" s="93"/>
    </row>
    <row r="4830" spans="30:36" ht="18">
      <c r="AD4830" s="93"/>
      <c r="AE4830" s="214"/>
      <c r="AF4830" s="93"/>
      <c r="AG4830" s="93"/>
      <c r="AH4830" s="93"/>
      <c r="AI4830" s="93"/>
      <c r="AJ4830" s="93"/>
    </row>
    <row r="4831" spans="30:36" ht="18">
      <c r="AD4831" s="93"/>
      <c r="AE4831" s="214"/>
      <c r="AF4831" s="93"/>
      <c r="AG4831" s="93"/>
      <c r="AH4831" s="93"/>
      <c r="AI4831" s="93"/>
      <c r="AJ4831" s="93"/>
    </row>
    <row r="4832" spans="30:36" ht="18">
      <c r="AD4832" s="93"/>
      <c r="AE4832" s="214"/>
      <c r="AF4832" s="93"/>
      <c r="AG4832" s="93"/>
      <c r="AH4832" s="93"/>
      <c r="AI4832" s="93"/>
      <c r="AJ4832" s="93"/>
    </row>
    <row r="4833" spans="30:36" ht="18">
      <c r="AD4833" s="93"/>
      <c r="AE4833" s="214"/>
      <c r="AF4833" s="93"/>
      <c r="AG4833" s="93"/>
      <c r="AH4833" s="93"/>
      <c r="AI4833" s="93"/>
      <c r="AJ4833" s="93"/>
    </row>
    <row r="4834" spans="30:36" ht="18">
      <c r="AD4834" s="93"/>
      <c r="AE4834" s="214"/>
      <c r="AF4834" s="93"/>
      <c r="AG4834" s="93"/>
      <c r="AH4834" s="93"/>
      <c r="AI4834" s="93"/>
      <c r="AJ4834" s="93"/>
    </row>
    <row r="4835" spans="30:36" ht="18">
      <c r="AD4835" s="93"/>
      <c r="AE4835" s="214"/>
      <c r="AF4835" s="93"/>
      <c r="AG4835" s="93"/>
      <c r="AH4835" s="93"/>
      <c r="AI4835" s="93"/>
      <c r="AJ4835" s="93"/>
    </row>
    <row r="4836" spans="30:36" ht="18">
      <c r="AD4836" s="93"/>
      <c r="AE4836" s="214"/>
      <c r="AF4836" s="93"/>
      <c r="AG4836" s="93"/>
      <c r="AH4836" s="93"/>
      <c r="AI4836" s="93"/>
      <c r="AJ4836" s="93"/>
    </row>
    <row r="4837" spans="30:36" ht="18">
      <c r="AD4837" s="93"/>
      <c r="AE4837" s="214"/>
      <c r="AF4837" s="93"/>
      <c r="AG4837" s="93"/>
      <c r="AH4837" s="93"/>
      <c r="AI4837" s="93"/>
      <c r="AJ4837" s="93"/>
    </row>
    <row r="4838" spans="30:36" ht="18">
      <c r="AD4838" s="93"/>
      <c r="AE4838" s="214"/>
      <c r="AF4838" s="93"/>
      <c r="AG4838" s="93"/>
      <c r="AH4838" s="93"/>
      <c r="AI4838" s="93"/>
      <c r="AJ4838" s="93"/>
    </row>
    <row r="4839" spans="30:36" ht="18">
      <c r="AD4839" s="93"/>
      <c r="AE4839" s="214"/>
      <c r="AF4839" s="93"/>
      <c r="AG4839" s="93"/>
      <c r="AH4839" s="93"/>
      <c r="AI4839" s="93"/>
      <c r="AJ4839" s="93"/>
    </row>
    <row r="4840" spans="30:36" ht="18">
      <c r="AD4840" s="93"/>
      <c r="AE4840" s="214"/>
      <c r="AF4840" s="93"/>
      <c r="AG4840" s="93"/>
      <c r="AH4840" s="93"/>
      <c r="AI4840" s="93"/>
      <c r="AJ4840" s="93"/>
    </row>
    <row r="4841" spans="30:36" ht="18">
      <c r="AD4841" s="93"/>
      <c r="AE4841" s="214"/>
      <c r="AF4841" s="93"/>
      <c r="AG4841" s="93"/>
      <c r="AH4841" s="93"/>
      <c r="AI4841" s="93"/>
      <c r="AJ4841" s="93"/>
    </row>
    <row r="4842" spans="30:36" ht="18">
      <c r="AD4842" s="93"/>
      <c r="AE4842" s="214"/>
      <c r="AF4842" s="93"/>
      <c r="AG4842" s="93"/>
      <c r="AH4842" s="93"/>
      <c r="AI4842" s="93"/>
      <c r="AJ4842" s="93"/>
    </row>
    <row r="4843" spans="30:36" ht="18">
      <c r="AD4843" s="93"/>
      <c r="AE4843" s="214"/>
      <c r="AF4843" s="93"/>
      <c r="AG4843" s="93"/>
      <c r="AH4843" s="93"/>
      <c r="AI4843" s="93"/>
      <c r="AJ4843" s="93"/>
    </row>
    <row r="4844" spans="30:36" ht="18">
      <c r="AD4844" s="93"/>
      <c r="AE4844" s="214"/>
      <c r="AF4844" s="93"/>
      <c r="AG4844" s="93"/>
      <c r="AH4844" s="93"/>
      <c r="AI4844" s="93"/>
      <c r="AJ4844" s="93"/>
    </row>
    <row r="4845" spans="30:36" ht="18">
      <c r="AD4845" s="93"/>
      <c r="AE4845" s="214"/>
      <c r="AF4845" s="93"/>
      <c r="AG4845" s="93"/>
      <c r="AH4845" s="93"/>
      <c r="AI4845" s="93"/>
      <c r="AJ4845" s="93"/>
    </row>
    <row r="4846" spans="30:36" ht="18">
      <c r="AD4846" s="93"/>
      <c r="AE4846" s="214"/>
      <c r="AF4846" s="93"/>
      <c r="AG4846" s="93"/>
      <c r="AH4846" s="93"/>
      <c r="AI4846" s="93"/>
      <c r="AJ4846" s="93"/>
    </row>
    <row r="4847" spans="30:36" ht="18">
      <c r="AD4847" s="93"/>
      <c r="AE4847" s="214"/>
      <c r="AF4847" s="93"/>
      <c r="AG4847" s="93"/>
      <c r="AH4847" s="93"/>
      <c r="AI4847" s="93"/>
      <c r="AJ4847" s="93"/>
    </row>
    <row r="4848" spans="30:36" ht="18">
      <c r="AD4848" s="93"/>
      <c r="AE4848" s="214"/>
      <c r="AF4848" s="93"/>
      <c r="AG4848" s="93"/>
      <c r="AH4848" s="93"/>
      <c r="AI4848" s="93"/>
      <c r="AJ4848" s="93"/>
    </row>
    <row r="4849" spans="30:36" ht="18">
      <c r="AD4849" s="93"/>
      <c r="AE4849" s="214"/>
      <c r="AF4849" s="93"/>
      <c r="AG4849" s="93"/>
      <c r="AH4849" s="93"/>
      <c r="AI4849" s="93"/>
      <c r="AJ4849" s="93"/>
    </row>
    <row r="4850" spans="30:36" ht="18">
      <c r="AD4850" s="93"/>
      <c r="AE4850" s="214"/>
      <c r="AF4850" s="93"/>
      <c r="AG4850" s="93"/>
      <c r="AH4850" s="93"/>
      <c r="AI4850" s="93"/>
      <c r="AJ4850" s="93"/>
    </row>
    <row r="4851" spans="30:36" ht="18">
      <c r="AD4851" s="93"/>
      <c r="AE4851" s="214"/>
      <c r="AF4851" s="93"/>
      <c r="AG4851" s="93"/>
      <c r="AH4851" s="93"/>
      <c r="AI4851" s="93"/>
      <c r="AJ4851" s="93"/>
    </row>
    <row r="4852" spans="30:36" ht="18">
      <c r="AD4852" s="93"/>
      <c r="AE4852" s="214"/>
      <c r="AF4852" s="93"/>
      <c r="AG4852" s="93"/>
      <c r="AH4852" s="93"/>
      <c r="AI4852" s="93"/>
      <c r="AJ4852" s="93"/>
    </row>
    <row r="4853" spans="30:36" ht="18">
      <c r="AD4853" s="93"/>
      <c r="AE4853" s="214"/>
      <c r="AF4853" s="93"/>
      <c r="AG4853" s="93"/>
      <c r="AH4853" s="93"/>
      <c r="AI4853" s="93"/>
      <c r="AJ4853" s="93"/>
    </row>
    <row r="4854" spans="30:36" ht="18">
      <c r="AD4854" s="93"/>
      <c r="AE4854" s="214"/>
      <c r="AF4854" s="93"/>
      <c r="AG4854" s="93"/>
      <c r="AH4854" s="93"/>
      <c r="AI4854" s="93"/>
      <c r="AJ4854" s="93"/>
    </row>
    <row r="4855" spans="30:36" ht="18">
      <c r="AD4855" s="93"/>
      <c r="AE4855" s="214"/>
      <c r="AF4855" s="93"/>
      <c r="AG4855" s="93"/>
      <c r="AH4855" s="93"/>
      <c r="AI4855" s="93"/>
      <c r="AJ4855" s="93"/>
    </row>
    <row r="4856" spans="30:36" ht="18">
      <c r="AD4856" s="93"/>
      <c r="AE4856" s="214"/>
      <c r="AF4856" s="93"/>
      <c r="AG4856" s="93"/>
      <c r="AH4856" s="93"/>
      <c r="AI4856" s="93"/>
      <c r="AJ4856" s="93"/>
    </row>
    <row r="4857" spans="30:36" ht="18">
      <c r="AD4857" s="93"/>
      <c r="AE4857" s="214"/>
      <c r="AF4857" s="93"/>
      <c r="AG4857" s="93"/>
      <c r="AH4857" s="93"/>
      <c r="AI4857" s="93"/>
      <c r="AJ4857" s="93"/>
    </row>
    <row r="4858" spans="30:36" ht="18">
      <c r="AD4858" s="93"/>
      <c r="AE4858" s="214"/>
      <c r="AF4858" s="93"/>
      <c r="AG4858" s="93"/>
      <c r="AH4858" s="93"/>
      <c r="AI4858" s="93"/>
      <c r="AJ4858" s="93"/>
    </row>
    <row r="4859" spans="30:36" ht="18">
      <c r="AD4859" s="93"/>
      <c r="AE4859" s="214"/>
      <c r="AF4859" s="93"/>
      <c r="AG4859" s="93"/>
      <c r="AH4859" s="93"/>
      <c r="AI4859" s="93"/>
      <c r="AJ4859" s="93"/>
    </row>
    <row r="4860" spans="30:36" ht="18">
      <c r="AD4860" s="93"/>
      <c r="AE4860" s="215"/>
      <c r="AF4860" s="93"/>
      <c r="AG4860" s="93"/>
      <c r="AH4860" s="93"/>
      <c r="AI4860" s="93"/>
      <c r="AJ4860" s="93"/>
    </row>
    <row r="4861" spans="30:36" ht="18">
      <c r="AD4861" s="93"/>
      <c r="AE4861" s="214"/>
      <c r="AF4861" s="93"/>
      <c r="AG4861" s="93"/>
      <c r="AH4861" s="93"/>
      <c r="AI4861" s="93"/>
      <c r="AJ4861" s="93"/>
    </row>
    <row r="4862" spans="30:36" ht="18">
      <c r="AD4862" s="93"/>
      <c r="AE4862" s="214"/>
      <c r="AF4862" s="93"/>
      <c r="AG4862" s="93"/>
      <c r="AH4862" s="93"/>
      <c r="AI4862" s="93"/>
      <c r="AJ4862" s="93"/>
    </row>
    <row r="4863" spans="30:36" ht="18">
      <c r="AD4863" s="93"/>
      <c r="AE4863" s="214"/>
      <c r="AF4863" s="93"/>
      <c r="AG4863" s="93"/>
      <c r="AH4863" s="93"/>
      <c r="AI4863" s="93"/>
      <c r="AJ4863" s="93"/>
    </row>
    <row r="4864" spans="30:36" ht="18">
      <c r="AD4864" s="93"/>
      <c r="AE4864" s="214"/>
      <c r="AF4864" s="93"/>
      <c r="AG4864" s="93"/>
      <c r="AH4864" s="93"/>
      <c r="AI4864" s="93"/>
      <c r="AJ4864" s="93"/>
    </row>
    <row r="4865" spans="30:36" ht="18">
      <c r="AD4865" s="93"/>
      <c r="AE4865" s="214"/>
      <c r="AF4865" s="93"/>
      <c r="AG4865" s="93"/>
      <c r="AH4865" s="93"/>
      <c r="AI4865" s="93"/>
      <c r="AJ4865" s="93"/>
    </row>
    <row r="4866" spans="30:36" ht="18">
      <c r="AD4866" s="93"/>
      <c r="AE4866" s="214"/>
      <c r="AF4866" s="93"/>
      <c r="AG4866" s="93"/>
      <c r="AH4866" s="93"/>
      <c r="AI4866" s="93"/>
      <c r="AJ4866" s="93"/>
    </row>
    <row r="4867" spans="30:36" ht="18">
      <c r="AD4867" s="93"/>
      <c r="AE4867" s="214"/>
      <c r="AF4867" s="93"/>
      <c r="AG4867" s="93"/>
      <c r="AH4867" s="93"/>
      <c r="AI4867" s="93"/>
      <c r="AJ4867" s="93"/>
    </row>
    <row r="4868" spans="30:36" ht="18">
      <c r="AD4868" s="93"/>
      <c r="AE4868" s="214"/>
      <c r="AF4868" s="93"/>
      <c r="AG4868" s="93"/>
      <c r="AH4868" s="93"/>
      <c r="AI4868" s="93"/>
      <c r="AJ4868" s="93"/>
    </row>
    <row r="4869" spans="30:36" ht="18">
      <c r="AD4869" s="93"/>
      <c r="AE4869" s="215"/>
      <c r="AF4869" s="93"/>
      <c r="AG4869" s="93"/>
      <c r="AH4869" s="93"/>
      <c r="AI4869" s="93"/>
      <c r="AJ4869" s="93"/>
    </row>
    <row r="4870" spans="30:36" ht="18">
      <c r="AD4870" s="93"/>
      <c r="AE4870" s="214"/>
      <c r="AF4870" s="93"/>
      <c r="AG4870" s="93"/>
      <c r="AH4870" s="93"/>
      <c r="AI4870" s="93"/>
      <c r="AJ4870" s="93"/>
    </row>
    <row r="4871" spans="30:36" ht="18">
      <c r="AD4871" s="93"/>
      <c r="AE4871" s="214"/>
      <c r="AF4871" s="93"/>
      <c r="AG4871" s="93"/>
      <c r="AH4871" s="93"/>
      <c r="AI4871" s="93"/>
      <c r="AJ4871" s="93"/>
    </row>
    <row r="4872" spans="30:36" ht="18">
      <c r="AD4872" s="93"/>
      <c r="AE4872" s="214"/>
      <c r="AF4872" s="93"/>
      <c r="AG4872" s="93"/>
      <c r="AH4872" s="93"/>
      <c r="AI4872" s="93"/>
      <c r="AJ4872" s="93"/>
    </row>
    <row r="4873" spans="30:36" ht="18">
      <c r="AD4873" s="93"/>
      <c r="AE4873" s="214"/>
      <c r="AF4873" s="93"/>
      <c r="AG4873" s="93"/>
      <c r="AH4873" s="93"/>
      <c r="AI4873" s="93"/>
      <c r="AJ4873" s="93"/>
    </row>
    <row r="4874" spans="30:36" ht="18">
      <c r="AD4874" s="93"/>
      <c r="AE4874" s="214"/>
      <c r="AF4874" s="93"/>
      <c r="AG4874" s="93"/>
      <c r="AH4874" s="93"/>
      <c r="AI4874" s="93"/>
      <c r="AJ4874" s="93"/>
    </row>
    <row r="4875" spans="30:36" ht="18">
      <c r="AD4875" s="93"/>
      <c r="AE4875" s="214"/>
      <c r="AF4875" s="93"/>
      <c r="AG4875" s="93"/>
      <c r="AH4875" s="93"/>
      <c r="AI4875" s="93"/>
      <c r="AJ4875" s="93"/>
    </row>
    <row r="4876" spans="30:36" ht="18">
      <c r="AD4876" s="93"/>
      <c r="AE4876" s="214"/>
      <c r="AF4876" s="93"/>
      <c r="AG4876" s="93"/>
      <c r="AH4876" s="93"/>
      <c r="AI4876" s="93"/>
      <c r="AJ4876" s="93"/>
    </row>
    <row r="4877" spans="30:36" ht="18">
      <c r="AD4877" s="93"/>
      <c r="AE4877" s="214"/>
      <c r="AF4877" s="93"/>
      <c r="AG4877" s="93"/>
      <c r="AH4877" s="93"/>
      <c r="AI4877" s="93"/>
      <c r="AJ4877" s="93"/>
    </row>
    <row r="4878" spans="30:36" ht="18">
      <c r="AD4878" s="93"/>
      <c r="AE4878" s="215"/>
      <c r="AF4878" s="93"/>
      <c r="AG4878" s="93"/>
      <c r="AH4878" s="93"/>
      <c r="AI4878" s="93"/>
      <c r="AJ4878" s="93"/>
    </row>
    <row r="4879" spans="30:36" ht="18">
      <c r="AD4879" s="93"/>
      <c r="AE4879" s="215"/>
      <c r="AF4879" s="93"/>
      <c r="AG4879" s="93"/>
      <c r="AH4879" s="93"/>
      <c r="AI4879" s="93"/>
      <c r="AJ4879" s="93"/>
    </row>
    <row r="4880" spans="30:36" ht="18">
      <c r="AD4880" s="93"/>
      <c r="AE4880" s="214"/>
      <c r="AF4880" s="93"/>
      <c r="AG4880" s="93"/>
      <c r="AH4880" s="93"/>
      <c r="AI4880" s="93"/>
      <c r="AJ4880" s="93"/>
    </row>
    <row r="4881" spans="30:36" ht="18">
      <c r="AD4881" s="93"/>
      <c r="AE4881" s="214"/>
      <c r="AF4881" s="93"/>
      <c r="AG4881" s="93"/>
      <c r="AH4881" s="93"/>
      <c r="AI4881" s="93"/>
      <c r="AJ4881" s="93"/>
    </row>
    <row r="4882" spans="30:36" ht="18">
      <c r="AD4882" s="93"/>
      <c r="AE4882" s="214"/>
      <c r="AF4882" s="93"/>
      <c r="AG4882" s="93"/>
      <c r="AH4882" s="93"/>
      <c r="AI4882" s="93"/>
      <c r="AJ4882" s="93"/>
    </row>
    <row r="4883" spans="30:36" ht="18">
      <c r="AD4883" s="93"/>
      <c r="AE4883" s="214"/>
      <c r="AF4883" s="93"/>
      <c r="AG4883" s="93"/>
      <c r="AH4883" s="93"/>
      <c r="AI4883" s="93"/>
      <c r="AJ4883" s="93"/>
    </row>
    <row r="4884" spans="30:36" ht="18">
      <c r="AD4884" s="93"/>
      <c r="AE4884" s="214"/>
      <c r="AF4884" s="93"/>
      <c r="AG4884" s="93"/>
      <c r="AH4884" s="93"/>
      <c r="AI4884" s="93"/>
      <c r="AJ4884" s="93"/>
    </row>
    <row r="4885" spans="30:36" ht="18">
      <c r="AD4885" s="93"/>
      <c r="AE4885" s="214"/>
      <c r="AF4885" s="93"/>
      <c r="AG4885" s="93"/>
      <c r="AH4885" s="93"/>
      <c r="AI4885" s="93"/>
      <c r="AJ4885" s="93"/>
    </row>
    <row r="4886" spans="30:36" ht="18">
      <c r="AD4886" s="93"/>
      <c r="AE4886" s="214"/>
      <c r="AF4886" s="93"/>
      <c r="AG4886" s="93"/>
      <c r="AH4886" s="93"/>
      <c r="AI4886" s="93"/>
      <c r="AJ4886" s="93"/>
    </row>
    <row r="4887" spans="30:36" ht="18">
      <c r="AD4887" s="93"/>
      <c r="AE4887" s="214"/>
      <c r="AF4887" s="93"/>
      <c r="AG4887" s="93"/>
      <c r="AH4887" s="93"/>
      <c r="AI4887" s="93"/>
      <c r="AJ4887" s="93"/>
    </row>
    <row r="4888" spans="30:36" ht="18">
      <c r="AD4888" s="93"/>
      <c r="AE4888" s="214"/>
      <c r="AF4888" s="93"/>
      <c r="AG4888" s="93"/>
      <c r="AH4888" s="93"/>
      <c r="AI4888" s="93"/>
      <c r="AJ4888" s="93"/>
    </row>
    <row r="4889" spans="30:36" ht="18">
      <c r="AD4889" s="93"/>
      <c r="AE4889" s="214"/>
      <c r="AF4889" s="93"/>
      <c r="AG4889" s="93"/>
      <c r="AH4889" s="93"/>
      <c r="AI4889" s="93"/>
      <c r="AJ4889" s="93"/>
    </row>
    <row r="4890" spans="30:36" ht="18">
      <c r="AD4890" s="93"/>
      <c r="AE4890" s="214"/>
      <c r="AF4890" s="93"/>
      <c r="AG4890" s="93"/>
      <c r="AH4890" s="93"/>
      <c r="AI4890" s="93"/>
      <c r="AJ4890" s="93"/>
    </row>
    <row r="4891" spans="30:36" ht="18">
      <c r="AD4891" s="93"/>
      <c r="AE4891" s="214"/>
      <c r="AF4891" s="93"/>
      <c r="AG4891" s="93"/>
      <c r="AH4891" s="93"/>
      <c r="AI4891" s="93"/>
      <c r="AJ4891" s="93"/>
    </row>
    <row r="4892" spans="30:36" ht="18">
      <c r="AD4892" s="93"/>
      <c r="AE4892" s="214"/>
      <c r="AF4892" s="93"/>
      <c r="AG4892" s="93"/>
      <c r="AH4892" s="93"/>
      <c r="AI4892" s="93"/>
      <c r="AJ4892" s="93"/>
    </row>
    <row r="4893" spans="30:36" ht="18">
      <c r="AD4893" s="93"/>
      <c r="AE4893" s="214"/>
      <c r="AF4893" s="93"/>
      <c r="AG4893" s="93"/>
      <c r="AH4893" s="93"/>
      <c r="AI4893" s="93"/>
      <c r="AJ4893" s="93"/>
    </row>
    <row r="4894" spans="30:36" ht="18">
      <c r="AD4894" s="93"/>
      <c r="AE4894" s="214"/>
      <c r="AF4894" s="93"/>
      <c r="AG4894" s="93"/>
      <c r="AH4894" s="93"/>
      <c r="AI4894" s="93"/>
      <c r="AJ4894" s="93"/>
    </row>
    <row r="4895" spans="30:36" ht="18">
      <c r="AD4895" s="93"/>
      <c r="AE4895" s="214"/>
      <c r="AF4895" s="93"/>
      <c r="AG4895" s="93"/>
      <c r="AH4895" s="93"/>
      <c r="AI4895" s="93"/>
      <c r="AJ4895" s="93"/>
    </row>
    <row r="4896" spans="30:36" ht="18">
      <c r="AD4896" s="93"/>
      <c r="AE4896" s="214"/>
      <c r="AF4896" s="93"/>
      <c r="AG4896" s="93"/>
      <c r="AH4896" s="93"/>
      <c r="AI4896" s="93"/>
      <c r="AJ4896" s="93"/>
    </row>
    <row r="4897" spans="30:36" ht="18">
      <c r="AD4897" s="93"/>
      <c r="AE4897" s="214"/>
      <c r="AF4897" s="93"/>
      <c r="AG4897" s="93"/>
      <c r="AH4897" s="93"/>
      <c r="AI4897" s="93"/>
      <c r="AJ4897" s="93"/>
    </row>
    <row r="4898" spans="30:36" ht="18">
      <c r="AD4898" s="93"/>
      <c r="AE4898" s="214"/>
      <c r="AF4898" s="93"/>
      <c r="AG4898" s="93"/>
      <c r="AH4898" s="93"/>
      <c r="AI4898" s="93"/>
      <c r="AJ4898" s="93"/>
    </row>
    <row r="4899" spans="30:36" ht="18">
      <c r="AD4899" s="93"/>
      <c r="AE4899" s="214"/>
      <c r="AF4899" s="93"/>
      <c r="AG4899" s="93"/>
      <c r="AH4899" s="93"/>
      <c r="AI4899" s="93"/>
      <c r="AJ4899" s="93"/>
    </row>
    <row r="4900" spans="30:36" ht="18">
      <c r="AD4900" s="93"/>
      <c r="AE4900" s="214"/>
      <c r="AF4900" s="93"/>
      <c r="AG4900" s="93"/>
      <c r="AH4900" s="93"/>
      <c r="AI4900" s="93"/>
      <c r="AJ4900" s="93"/>
    </row>
    <row r="4901" spans="30:36" ht="18">
      <c r="AD4901" s="93"/>
      <c r="AE4901" s="214"/>
      <c r="AF4901" s="93"/>
      <c r="AG4901" s="93"/>
      <c r="AH4901" s="93"/>
      <c r="AI4901" s="93"/>
      <c r="AJ4901" s="93"/>
    </row>
    <row r="4902" spans="30:36" ht="18">
      <c r="AD4902" s="93"/>
      <c r="AE4902" s="214"/>
      <c r="AF4902" s="93"/>
      <c r="AG4902" s="93"/>
      <c r="AH4902" s="93"/>
      <c r="AI4902" s="93"/>
      <c r="AJ4902" s="93"/>
    </row>
    <row r="4903" spans="30:36" ht="18">
      <c r="AD4903" s="93"/>
      <c r="AE4903" s="214"/>
      <c r="AF4903" s="93"/>
      <c r="AG4903" s="93"/>
      <c r="AH4903" s="93"/>
      <c r="AI4903" s="93"/>
      <c r="AJ4903" s="93"/>
    </row>
    <row r="4904" spans="30:36" ht="18">
      <c r="AD4904" s="93"/>
      <c r="AE4904" s="214"/>
      <c r="AF4904" s="93"/>
      <c r="AG4904" s="93"/>
      <c r="AH4904" s="93"/>
      <c r="AI4904" s="93"/>
      <c r="AJ4904" s="93"/>
    </row>
    <row r="4905" spans="30:36" ht="18">
      <c r="AD4905" s="93"/>
      <c r="AE4905" s="214"/>
      <c r="AF4905" s="93"/>
      <c r="AG4905" s="93"/>
      <c r="AH4905" s="93"/>
      <c r="AI4905" s="93"/>
      <c r="AJ4905" s="93"/>
    </row>
    <row r="4906" spans="30:36" ht="18">
      <c r="AD4906" s="93"/>
      <c r="AE4906" s="214"/>
      <c r="AF4906" s="93"/>
      <c r="AG4906" s="93"/>
      <c r="AH4906" s="93"/>
      <c r="AI4906" s="93"/>
      <c r="AJ4906" s="93"/>
    </row>
    <row r="4907" spans="30:36" ht="18">
      <c r="AD4907" s="93"/>
      <c r="AE4907" s="214"/>
      <c r="AF4907" s="93"/>
      <c r="AG4907" s="93"/>
      <c r="AH4907" s="93"/>
      <c r="AI4907" s="93"/>
      <c r="AJ4907" s="93"/>
    </row>
    <row r="4908" spans="30:36" ht="18">
      <c r="AD4908" s="93"/>
      <c r="AE4908" s="214"/>
      <c r="AF4908" s="93"/>
      <c r="AG4908" s="93"/>
      <c r="AH4908" s="93"/>
      <c r="AI4908" s="93"/>
      <c r="AJ4908" s="93"/>
    </row>
    <row r="4909" spans="30:36" ht="18">
      <c r="AD4909" s="93"/>
      <c r="AE4909" s="214"/>
      <c r="AF4909" s="93"/>
      <c r="AG4909" s="93"/>
      <c r="AH4909" s="93"/>
      <c r="AI4909" s="93"/>
      <c r="AJ4909" s="93"/>
    </row>
    <row r="4910" spans="30:36" ht="18">
      <c r="AD4910" s="93"/>
      <c r="AE4910" s="214"/>
      <c r="AF4910" s="93"/>
      <c r="AG4910" s="93"/>
      <c r="AH4910" s="93"/>
      <c r="AI4910" s="93"/>
      <c r="AJ4910" s="93"/>
    </row>
    <row r="4911" spans="30:36" ht="18">
      <c r="AD4911" s="93"/>
      <c r="AE4911" s="214"/>
      <c r="AF4911" s="93"/>
      <c r="AG4911" s="93"/>
      <c r="AH4911" s="93"/>
      <c r="AI4911" s="93"/>
      <c r="AJ4911" s="93"/>
    </row>
    <row r="4912" spans="30:36" ht="18">
      <c r="AD4912" s="93"/>
      <c r="AE4912" s="214"/>
      <c r="AF4912" s="93"/>
      <c r="AG4912" s="93"/>
      <c r="AH4912" s="93"/>
      <c r="AI4912" s="93"/>
      <c r="AJ4912" s="93"/>
    </row>
    <row r="4913" spans="30:36" ht="18">
      <c r="AD4913" s="93"/>
      <c r="AE4913" s="214"/>
      <c r="AF4913" s="93"/>
      <c r="AG4913" s="93"/>
      <c r="AH4913" s="93"/>
      <c r="AI4913" s="93"/>
      <c r="AJ4913" s="93"/>
    </row>
    <row r="4914" spans="30:36" ht="18">
      <c r="AD4914" s="93"/>
      <c r="AE4914" s="214"/>
      <c r="AF4914" s="93"/>
      <c r="AG4914" s="93"/>
      <c r="AH4914" s="93"/>
      <c r="AI4914" s="93"/>
      <c r="AJ4914" s="93"/>
    </row>
    <row r="4915" spans="30:36" ht="18">
      <c r="AD4915" s="93"/>
      <c r="AE4915" s="214"/>
      <c r="AF4915" s="93"/>
      <c r="AG4915" s="93"/>
      <c r="AH4915" s="93"/>
      <c r="AI4915" s="93"/>
      <c r="AJ4915" s="93"/>
    </row>
    <row r="4916" spans="30:36" ht="18">
      <c r="AD4916" s="93"/>
      <c r="AE4916" s="214"/>
      <c r="AF4916" s="93"/>
      <c r="AG4916" s="93"/>
      <c r="AH4916" s="93"/>
      <c r="AI4916" s="93"/>
      <c r="AJ4916" s="93"/>
    </row>
    <row r="4917" spans="30:36" ht="18">
      <c r="AD4917" s="93"/>
      <c r="AE4917" s="214"/>
      <c r="AF4917" s="93"/>
      <c r="AG4917" s="93"/>
      <c r="AH4917" s="93"/>
      <c r="AI4917" s="93"/>
      <c r="AJ4917" s="93"/>
    </row>
    <row r="4918" spans="30:36" ht="18">
      <c r="AD4918" s="93"/>
      <c r="AE4918" s="214"/>
      <c r="AF4918" s="93"/>
      <c r="AG4918" s="93"/>
      <c r="AH4918" s="93"/>
      <c r="AI4918" s="93"/>
      <c r="AJ4918" s="93"/>
    </row>
    <row r="4919" spans="30:36" ht="18">
      <c r="AD4919" s="93"/>
      <c r="AE4919" s="214"/>
      <c r="AF4919" s="93"/>
      <c r="AG4919" s="93"/>
      <c r="AH4919" s="93"/>
      <c r="AI4919" s="93"/>
      <c r="AJ4919" s="93"/>
    </row>
    <row r="4920" spans="30:36" ht="18">
      <c r="AD4920" s="93"/>
      <c r="AE4920" s="214"/>
      <c r="AF4920" s="93"/>
      <c r="AG4920" s="93"/>
      <c r="AH4920" s="93"/>
      <c r="AI4920" s="93"/>
      <c r="AJ4920" s="93"/>
    </row>
    <row r="4921" spans="30:36" ht="18">
      <c r="AD4921" s="93"/>
      <c r="AE4921" s="214"/>
      <c r="AF4921" s="93"/>
      <c r="AG4921" s="93"/>
      <c r="AH4921" s="93"/>
      <c r="AI4921" s="93"/>
      <c r="AJ4921" s="93"/>
    </row>
    <row r="4922" spans="30:36" ht="18">
      <c r="AD4922" s="93"/>
      <c r="AE4922" s="214"/>
      <c r="AF4922" s="93"/>
      <c r="AG4922" s="93"/>
      <c r="AH4922" s="93"/>
      <c r="AI4922" s="93"/>
      <c r="AJ4922" s="93"/>
    </row>
    <row r="4923" spans="30:36" ht="18">
      <c r="AD4923" s="93"/>
      <c r="AE4923" s="214"/>
      <c r="AF4923" s="93"/>
      <c r="AG4923" s="93"/>
      <c r="AH4923" s="93"/>
      <c r="AI4923" s="93"/>
      <c r="AJ4923" s="93"/>
    </row>
    <row r="4924" spans="30:36" ht="18">
      <c r="AD4924" s="93"/>
      <c r="AE4924" s="215"/>
      <c r="AF4924" s="93"/>
      <c r="AG4924" s="93"/>
      <c r="AH4924" s="93"/>
      <c r="AI4924" s="93"/>
      <c r="AJ4924" s="93"/>
    </row>
    <row r="4925" spans="30:36" ht="18">
      <c r="AD4925" s="93"/>
      <c r="AE4925" s="214"/>
      <c r="AF4925" s="93"/>
      <c r="AG4925" s="93"/>
      <c r="AH4925" s="93"/>
      <c r="AI4925" s="93"/>
      <c r="AJ4925" s="93"/>
    </row>
    <row r="4926" spans="30:36" ht="18">
      <c r="AD4926" s="93"/>
      <c r="AE4926" s="214"/>
      <c r="AF4926" s="93"/>
      <c r="AG4926" s="93"/>
      <c r="AH4926" s="93"/>
      <c r="AI4926" s="93"/>
      <c r="AJ4926" s="93"/>
    </row>
    <row r="4927" spans="30:36" ht="18">
      <c r="AD4927" s="93"/>
      <c r="AE4927" s="214"/>
      <c r="AF4927" s="93"/>
      <c r="AG4927" s="93"/>
      <c r="AH4927" s="93"/>
      <c r="AI4927" s="93"/>
      <c r="AJ4927" s="93"/>
    </row>
    <row r="4928" spans="30:36" ht="18">
      <c r="AD4928" s="93"/>
      <c r="AE4928" s="214"/>
      <c r="AF4928" s="93"/>
      <c r="AG4928" s="93"/>
      <c r="AH4928" s="93"/>
      <c r="AI4928" s="93"/>
      <c r="AJ4928" s="93"/>
    </row>
    <row r="4929" spans="30:36" ht="18">
      <c r="AD4929" s="93"/>
      <c r="AE4929" s="214"/>
      <c r="AF4929" s="93"/>
      <c r="AG4929" s="93"/>
      <c r="AH4929" s="93"/>
      <c r="AI4929" s="93"/>
      <c r="AJ4929" s="93"/>
    </row>
    <row r="4930" spans="30:36" ht="18">
      <c r="AD4930" s="93"/>
      <c r="AE4930" s="214"/>
      <c r="AF4930" s="93"/>
      <c r="AG4930" s="93"/>
      <c r="AH4930" s="93"/>
      <c r="AI4930" s="93"/>
      <c r="AJ4930" s="93"/>
    </row>
    <row r="4931" spans="30:36" ht="18">
      <c r="AD4931" s="93"/>
      <c r="AE4931" s="214"/>
      <c r="AF4931" s="93"/>
      <c r="AG4931" s="93"/>
      <c r="AH4931" s="93"/>
      <c r="AI4931" s="93"/>
      <c r="AJ4931" s="93"/>
    </row>
    <row r="4932" spans="30:36" ht="18">
      <c r="AD4932" s="93"/>
      <c r="AE4932" s="214"/>
      <c r="AF4932" s="93"/>
      <c r="AG4932" s="93"/>
      <c r="AH4932" s="93"/>
      <c r="AI4932" s="93"/>
      <c r="AJ4932" s="93"/>
    </row>
    <row r="4933" spans="30:36" ht="18">
      <c r="AD4933" s="93"/>
      <c r="AE4933" s="214"/>
      <c r="AF4933" s="93"/>
      <c r="AG4933" s="93"/>
      <c r="AH4933" s="93"/>
      <c r="AI4933" s="93"/>
      <c r="AJ4933" s="93"/>
    </row>
    <row r="4934" spans="30:36" ht="18">
      <c r="AD4934" s="93"/>
      <c r="AE4934" s="214"/>
      <c r="AF4934" s="93"/>
      <c r="AG4934" s="93"/>
      <c r="AH4934" s="93"/>
      <c r="AI4934" s="93"/>
      <c r="AJ4934" s="93"/>
    </row>
    <row r="4935" spans="30:36" ht="18">
      <c r="AD4935" s="93"/>
      <c r="AE4935" s="214"/>
      <c r="AF4935" s="93"/>
      <c r="AG4935" s="93"/>
      <c r="AH4935" s="93"/>
      <c r="AI4935" s="93"/>
      <c r="AJ4935" s="93"/>
    </row>
    <row r="4936" spans="30:36" ht="18">
      <c r="AD4936" s="93"/>
      <c r="AE4936" s="214"/>
      <c r="AF4936" s="93"/>
      <c r="AG4936" s="93"/>
      <c r="AH4936" s="93"/>
      <c r="AI4936" s="93"/>
      <c r="AJ4936" s="93"/>
    </row>
    <row r="4937" spans="30:36" ht="18">
      <c r="AD4937" s="93"/>
      <c r="AE4937" s="214"/>
      <c r="AF4937" s="93"/>
      <c r="AG4937" s="93"/>
      <c r="AH4937" s="93"/>
      <c r="AI4937" s="93"/>
      <c r="AJ4937" s="93"/>
    </row>
    <row r="4938" spans="30:36" ht="18">
      <c r="AD4938" s="93"/>
      <c r="AE4938" s="214"/>
      <c r="AF4938" s="93"/>
      <c r="AG4938" s="93"/>
      <c r="AH4938" s="93"/>
      <c r="AI4938" s="93"/>
      <c r="AJ4938" s="93"/>
    </row>
    <row r="4939" spans="30:36" ht="18">
      <c r="AD4939" s="93"/>
      <c r="AE4939" s="214"/>
      <c r="AF4939" s="93"/>
      <c r="AG4939" s="93"/>
      <c r="AH4939" s="93"/>
      <c r="AI4939" s="93"/>
      <c r="AJ4939" s="93"/>
    </row>
    <row r="4940" spans="30:36" ht="18">
      <c r="AD4940" s="93"/>
      <c r="AE4940" s="214"/>
      <c r="AF4940" s="93"/>
      <c r="AG4940" s="93"/>
      <c r="AH4940" s="93"/>
      <c r="AI4940" s="93"/>
      <c r="AJ4940" s="93"/>
    </row>
    <row r="4941" spans="30:36" ht="18">
      <c r="AD4941" s="93"/>
      <c r="AE4941" s="214"/>
      <c r="AF4941" s="93"/>
      <c r="AG4941" s="93"/>
      <c r="AH4941" s="93"/>
      <c r="AI4941" s="93"/>
      <c r="AJ4941" s="93"/>
    </row>
    <row r="4942" spans="30:36" ht="18">
      <c r="AD4942" s="93"/>
      <c r="AE4942" s="214"/>
      <c r="AF4942" s="93"/>
      <c r="AG4942" s="93"/>
      <c r="AH4942" s="93"/>
      <c r="AI4942" s="93"/>
      <c r="AJ4942" s="93"/>
    </row>
    <row r="4943" spans="30:36" ht="18">
      <c r="AD4943" s="93"/>
      <c r="AE4943" s="214"/>
      <c r="AF4943" s="93"/>
      <c r="AG4943" s="93"/>
      <c r="AH4943" s="93"/>
      <c r="AI4943" s="93"/>
      <c r="AJ4943" s="93"/>
    </row>
    <row r="4944" spans="30:36" ht="18">
      <c r="AD4944" s="93"/>
      <c r="AE4944" s="214"/>
      <c r="AF4944" s="93"/>
      <c r="AG4944" s="93"/>
      <c r="AH4944" s="93"/>
      <c r="AI4944" s="93"/>
      <c r="AJ4944" s="93"/>
    </row>
    <row r="4945" spans="30:36" ht="18">
      <c r="AD4945" s="93"/>
      <c r="AE4945" s="214"/>
      <c r="AF4945" s="93"/>
      <c r="AG4945" s="93"/>
      <c r="AH4945" s="93"/>
      <c r="AI4945" s="93"/>
      <c r="AJ4945" s="93"/>
    </row>
    <row r="4946" spans="30:36" ht="18">
      <c r="AD4946" s="93"/>
      <c r="AE4946" s="214"/>
      <c r="AF4946" s="93"/>
      <c r="AG4946" s="93"/>
      <c r="AH4946" s="93"/>
      <c r="AI4946" s="93"/>
      <c r="AJ4946" s="93"/>
    </row>
    <row r="4947" spans="30:36" ht="18">
      <c r="AD4947" s="93"/>
      <c r="AE4947" s="214"/>
      <c r="AF4947" s="93"/>
      <c r="AG4947" s="93"/>
      <c r="AH4947" s="93"/>
      <c r="AI4947" s="93"/>
      <c r="AJ4947" s="93"/>
    </row>
    <row r="4948" spans="30:36" ht="18">
      <c r="AD4948" s="93"/>
      <c r="AE4948" s="214"/>
      <c r="AF4948" s="93"/>
      <c r="AG4948" s="93"/>
      <c r="AH4948" s="93"/>
      <c r="AI4948" s="93"/>
      <c r="AJ4948" s="93"/>
    </row>
    <row r="4949" spans="30:36" ht="18">
      <c r="AD4949" s="93"/>
      <c r="AE4949" s="214"/>
      <c r="AF4949" s="93"/>
      <c r="AG4949" s="93"/>
      <c r="AH4949" s="93"/>
      <c r="AI4949" s="93"/>
      <c r="AJ4949" s="93"/>
    </row>
    <row r="4950" spans="30:36" ht="18">
      <c r="AD4950" s="93"/>
      <c r="AE4950" s="214"/>
      <c r="AF4950" s="93"/>
      <c r="AG4950" s="93"/>
      <c r="AH4950" s="93"/>
      <c r="AI4950" s="93"/>
      <c r="AJ4950" s="93"/>
    </row>
    <row r="4951" spans="30:36" ht="18">
      <c r="AD4951" s="93"/>
      <c r="AE4951" s="214"/>
      <c r="AF4951" s="93"/>
      <c r="AG4951" s="93"/>
      <c r="AH4951" s="93"/>
      <c r="AI4951" s="93"/>
      <c r="AJ4951" s="93"/>
    </row>
    <row r="4952" spans="30:36" ht="18">
      <c r="AD4952" s="93"/>
      <c r="AE4952" s="214"/>
      <c r="AF4952" s="93"/>
      <c r="AG4952" s="93"/>
      <c r="AH4952" s="93"/>
      <c r="AI4952" s="93"/>
      <c r="AJ4952" s="93"/>
    </row>
    <row r="4953" spans="30:36" ht="18">
      <c r="AD4953" s="93"/>
      <c r="AE4953" s="214"/>
      <c r="AF4953" s="93"/>
      <c r="AG4953" s="93"/>
      <c r="AH4953" s="93"/>
      <c r="AI4953" s="93"/>
      <c r="AJ4953" s="93"/>
    </row>
    <row r="4954" spans="30:36" ht="18">
      <c r="AD4954" s="93"/>
      <c r="AE4954" s="214"/>
      <c r="AF4954" s="93"/>
      <c r="AG4954" s="93"/>
      <c r="AH4954" s="93"/>
      <c r="AI4954" s="93"/>
      <c r="AJ4954" s="93"/>
    </row>
    <row r="4955" spans="30:36" ht="18">
      <c r="AD4955" s="93"/>
      <c r="AE4955" s="214"/>
      <c r="AF4955" s="93"/>
      <c r="AG4955" s="93"/>
      <c r="AH4955" s="93"/>
      <c r="AI4955" s="93"/>
      <c r="AJ4955" s="93"/>
    </row>
    <row r="4956" spans="30:36" ht="18">
      <c r="AD4956" s="93"/>
      <c r="AE4956" s="214"/>
      <c r="AF4956" s="93"/>
      <c r="AG4956" s="93"/>
      <c r="AH4956" s="93"/>
      <c r="AI4956" s="93"/>
      <c r="AJ4956" s="93"/>
    </row>
    <row r="4957" spans="30:36" ht="18">
      <c r="AD4957" s="93"/>
      <c r="AE4957" s="214"/>
      <c r="AF4957" s="93"/>
      <c r="AG4957" s="93"/>
      <c r="AH4957" s="93"/>
      <c r="AI4957" s="93"/>
      <c r="AJ4957" s="93"/>
    </row>
    <row r="4958" spans="30:36" ht="18">
      <c r="AD4958" s="93"/>
      <c r="AE4958" s="214"/>
      <c r="AF4958" s="93"/>
      <c r="AG4958" s="93"/>
      <c r="AH4958" s="93"/>
      <c r="AI4958" s="93"/>
      <c r="AJ4958" s="93"/>
    </row>
    <row r="4959" spans="30:36" ht="18">
      <c r="AD4959" s="93"/>
      <c r="AE4959" s="214"/>
      <c r="AF4959" s="93"/>
      <c r="AG4959" s="93"/>
      <c r="AH4959" s="93"/>
      <c r="AI4959" s="93"/>
      <c r="AJ4959" s="93"/>
    </row>
    <row r="4960" spans="30:36" ht="18">
      <c r="AD4960" s="93"/>
      <c r="AE4960" s="214"/>
      <c r="AF4960" s="93"/>
      <c r="AG4960" s="93"/>
      <c r="AH4960" s="93"/>
      <c r="AI4960" s="93"/>
      <c r="AJ4960" s="93"/>
    </row>
    <row r="4961" spans="30:36" ht="18">
      <c r="AD4961" s="93"/>
      <c r="AE4961" s="214"/>
      <c r="AF4961" s="93"/>
      <c r="AG4961" s="93"/>
      <c r="AH4961" s="93"/>
      <c r="AI4961" s="93"/>
      <c r="AJ4961" s="93"/>
    </row>
    <row r="4962" spans="30:36" ht="18">
      <c r="AD4962" s="93"/>
      <c r="AE4962" s="214"/>
      <c r="AF4962" s="93"/>
      <c r="AG4962" s="93"/>
      <c r="AH4962" s="93"/>
      <c r="AI4962" s="93"/>
      <c r="AJ4962" s="93"/>
    </row>
    <row r="4963" spans="30:36" ht="18">
      <c r="AD4963" s="93"/>
      <c r="AE4963" s="214"/>
      <c r="AF4963" s="93"/>
      <c r="AG4963" s="93"/>
      <c r="AH4963" s="93"/>
      <c r="AI4963" s="93"/>
      <c r="AJ4963" s="93"/>
    </row>
    <row r="4964" spans="30:36" ht="18">
      <c r="AD4964" s="93"/>
      <c r="AE4964" s="214"/>
      <c r="AF4964" s="93"/>
      <c r="AG4964" s="93"/>
      <c r="AH4964" s="93"/>
      <c r="AI4964" s="93"/>
      <c r="AJ4964" s="93"/>
    </row>
    <row r="4965" spans="30:36" ht="18">
      <c r="AD4965" s="93"/>
      <c r="AE4965" s="214"/>
      <c r="AF4965" s="93"/>
      <c r="AG4965" s="93"/>
      <c r="AH4965" s="93"/>
      <c r="AI4965" s="93"/>
      <c r="AJ4965" s="93"/>
    </row>
    <row r="4966" spans="30:36" ht="18">
      <c r="AD4966" s="93"/>
      <c r="AE4966" s="214"/>
      <c r="AF4966" s="93"/>
      <c r="AG4966" s="93"/>
      <c r="AH4966" s="93"/>
      <c r="AI4966" s="93"/>
      <c r="AJ4966" s="93"/>
    </row>
    <row r="4967" spans="30:36" ht="18">
      <c r="AD4967" s="93"/>
      <c r="AE4967" s="214"/>
      <c r="AF4967" s="93"/>
      <c r="AG4967" s="93"/>
      <c r="AH4967" s="93"/>
      <c r="AI4967" s="93"/>
      <c r="AJ4967" s="93"/>
    </row>
    <row r="4968" spans="30:36" ht="18">
      <c r="AD4968" s="93"/>
      <c r="AE4968" s="214"/>
      <c r="AF4968" s="93"/>
      <c r="AG4968" s="93"/>
      <c r="AH4968" s="93"/>
      <c r="AI4968" s="93"/>
      <c r="AJ4968" s="93"/>
    </row>
    <row r="4969" spans="30:36" ht="18">
      <c r="AD4969" s="93"/>
      <c r="AE4969" s="214"/>
      <c r="AF4969" s="93"/>
      <c r="AG4969" s="93"/>
      <c r="AH4969" s="93"/>
      <c r="AI4969" s="93"/>
      <c r="AJ4969" s="93"/>
    </row>
    <row r="4970" spans="30:36" ht="18">
      <c r="AD4970" s="93"/>
      <c r="AE4970" s="214"/>
      <c r="AF4970" s="93"/>
      <c r="AG4970" s="93"/>
      <c r="AH4970" s="93"/>
      <c r="AI4970" s="93"/>
      <c r="AJ4970" s="93"/>
    </row>
    <row r="4971" spans="30:36" ht="18">
      <c r="AD4971" s="93"/>
      <c r="AE4971" s="214"/>
      <c r="AF4971" s="93"/>
      <c r="AG4971" s="93"/>
      <c r="AH4971" s="93"/>
      <c r="AI4971" s="93"/>
      <c r="AJ4971" s="93"/>
    </row>
    <row r="4972" spans="30:36" ht="18">
      <c r="AD4972" s="93"/>
      <c r="AE4972" s="214"/>
      <c r="AF4972" s="93"/>
      <c r="AG4972" s="93"/>
      <c r="AH4972" s="93"/>
      <c r="AI4972" s="93"/>
      <c r="AJ4972" s="93"/>
    </row>
    <row r="4973" spans="30:36" ht="18">
      <c r="AD4973" s="93"/>
      <c r="AE4973" s="214"/>
      <c r="AF4973" s="93"/>
      <c r="AG4973" s="93"/>
      <c r="AH4973" s="93"/>
      <c r="AI4973" s="93"/>
      <c r="AJ4973" s="93"/>
    </row>
    <row r="4974" spans="30:36" ht="18">
      <c r="AD4974" s="93"/>
      <c r="AE4974" s="215"/>
      <c r="AF4974" s="93"/>
      <c r="AG4974" s="93"/>
      <c r="AH4974" s="93"/>
      <c r="AI4974" s="93"/>
      <c r="AJ4974" s="93"/>
    </row>
    <row r="4975" spans="30:36" ht="18">
      <c r="AD4975" s="93"/>
      <c r="AE4975" s="215"/>
      <c r="AF4975" s="93"/>
      <c r="AG4975" s="93"/>
      <c r="AH4975" s="93"/>
      <c r="AI4975" s="93"/>
      <c r="AJ4975" s="93"/>
    </row>
    <row r="4976" spans="30:36" ht="18">
      <c r="AD4976" s="93"/>
      <c r="AE4976" s="214"/>
      <c r="AF4976" s="93"/>
      <c r="AG4976" s="93"/>
      <c r="AH4976" s="93"/>
      <c r="AI4976" s="93"/>
      <c r="AJ4976" s="93"/>
    </row>
    <row r="4977" spans="30:36" ht="18">
      <c r="AD4977" s="93"/>
      <c r="AE4977" s="214"/>
      <c r="AF4977" s="93"/>
      <c r="AG4977" s="93"/>
      <c r="AH4977" s="93"/>
      <c r="AI4977" s="93"/>
      <c r="AJ4977" s="93"/>
    </row>
    <row r="4978" spans="30:36" ht="18">
      <c r="AD4978" s="93"/>
      <c r="AE4978" s="214"/>
      <c r="AF4978" s="93"/>
      <c r="AG4978" s="93"/>
      <c r="AH4978" s="93"/>
      <c r="AI4978" s="93"/>
      <c r="AJ4978" s="93"/>
    </row>
    <row r="4979" spans="30:36" ht="18">
      <c r="AD4979" s="93"/>
      <c r="AE4979" s="214"/>
      <c r="AF4979" s="93"/>
      <c r="AG4979" s="93"/>
      <c r="AH4979" s="93"/>
      <c r="AI4979" s="93"/>
      <c r="AJ4979" s="93"/>
    </row>
    <row r="4980" spans="30:36" ht="18">
      <c r="AD4980" s="93"/>
      <c r="AE4980" s="214"/>
      <c r="AF4980" s="93"/>
      <c r="AG4980" s="93"/>
      <c r="AH4980" s="93"/>
      <c r="AI4980" s="93"/>
      <c r="AJ4980" s="93"/>
    </row>
    <row r="4981" spans="30:36" ht="18">
      <c r="AD4981" s="93"/>
      <c r="AE4981" s="214"/>
      <c r="AF4981" s="93"/>
      <c r="AG4981" s="93"/>
      <c r="AH4981" s="93"/>
      <c r="AI4981" s="93"/>
      <c r="AJ4981" s="93"/>
    </row>
    <row r="4982" spans="30:36" ht="18">
      <c r="AD4982" s="93"/>
      <c r="AE4982" s="214"/>
      <c r="AF4982" s="93"/>
      <c r="AG4982" s="93"/>
      <c r="AH4982" s="93"/>
      <c r="AI4982" s="93"/>
      <c r="AJ4982" s="93"/>
    </row>
    <row r="4983" spans="30:36" ht="18">
      <c r="AD4983" s="93"/>
      <c r="AE4983" s="214"/>
      <c r="AF4983" s="93"/>
      <c r="AG4983" s="93"/>
      <c r="AH4983" s="93"/>
      <c r="AI4983" s="93"/>
      <c r="AJ4983" s="93"/>
    </row>
    <row r="4984" spans="30:36" ht="18">
      <c r="AD4984" s="93"/>
      <c r="AE4984" s="214"/>
      <c r="AF4984" s="93"/>
      <c r="AG4984" s="93"/>
      <c r="AH4984" s="93"/>
      <c r="AI4984" s="93"/>
      <c r="AJ4984" s="93"/>
    </row>
    <row r="4985" spans="30:36" ht="18">
      <c r="AD4985" s="93"/>
      <c r="AE4985" s="215"/>
      <c r="AF4985" s="93"/>
      <c r="AG4985" s="93"/>
      <c r="AH4985" s="93"/>
      <c r="AI4985" s="93"/>
      <c r="AJ4985" s="93"/>
    </row>
    <row r="4986" spans="30:36" ht="18">
      <c r="AD4986" s="93"/>
      <c r="AE4986" s="215"/>
      <c r="AF4986" s="93"/>
      <c r="AG4986" s="93"/>
      <c r="AH4986" s="93"/>
      <c r="AI4986" s="93"/>
      <c r="AJ4986" s="93"/>
    </row>
    <row r="4987" spans="30:36" ht="18">
      <c r="AD4987" s="93"/>
      <c r="AE4987" s="214"/>
      <c r="AF4987" s="93"/>
      <c r="AG4987" s="93"/>
      <c r="AH4987" s="93"/>
      <c r="AI4987" s="93"/>
      <c r="AJ4987" s="93"/>
    </row>
    <row r="4988" spans="30:36" ht="18">
      <c r="AD4988" s="93"/>
      <c r="AE4988" s="214"/>
      <c r="AF4988" s="93"/>
      <c r="AG4988" s="93"/>
      <c r="AH4988" s="93"/>
      <c r="AI4988" s="93"/>
      <c r="AJ4988" s="93"/>
    </row>
    <row r="4989" spans="30:36" ht="18">
      <c r="AD4989" s="93"/>
      <c r="AE4989" s="214"/>
      <c r="AF4989" s="93"/>
      <c r="AG4989" s="93"/>
      <c r="AH4989" s="93"/>
      <c r="AI4989" s="93"/>
      <c r="AJ4989" s="93"/>
    </row>
    <row r="4990" spans="30:36" ht="18">
      <c r="AD4990" s="93"/>
      <c r="AE4990" s="214"/>
      <c r="AF4990" s="93"/>
      <c r="AG4990" s="93"/>
      <c r="AH4990" s="93"/>
      <c r="AI4990" s="93"/>
      <c r="AJ4990" s="93"/>
    </row>
    <row r="4991" spans="30:36" ht="18">
      <c r="AD4991" s="93"/>
      <c r="AE4991" s="214"/>
      <c r="AF4991" s="93"/>
      <c r="AG4991" s="93"/>
      <c r="AH4991" s="93"/>
      <c r="AI4991" s="93"/>
      <c r="AJ4991" s="93"/>
    </row>
    <row r="4992" spans="30:36" ht="18">
      <c r="AD4992" s="93"/>
      <c r="AE4992" s="214"/>
      <c r="AF4992" s="93"/>
      <c r="AG4992" s="93"/>
      <c r="AH4992" s="93"/>
      <c r="AI4992" s="93"/>
      <c r="AJ4992" s="93"/>
    </row>
    <row r="4993" spans="30:36" ht="18">
      <c r="AD4993" s="93"/>
      <c r="AE4993" s="214"/>
      <c r="AF4993" s="93"/>
      <c r="AG4993" s="93"/>
      <c r="AH4993" s="93"/>
      <c r="AI4993" s="93"/>
      <c r="AJ4993" s="93"/>
    </row>
    <row r="4994" spans="30:36" ht="18">
      <c r="AD4994" s="93"/>
      <c r="AE4994" s="215"/>
      <c r="AF4994" s="93"/>
      <c r="AG4994" s="93"/>
      <c r="AH4994" s="93"/>
      <c r="AI4994" s="93"/>
      <c r="AJ4994" s="93"/>
    </row>
    <row r="4995" spans="30:36" ht="18">
      <c r="AD4995" s="93"/>
      <c r="AE4995" s="215"/>
      <c r="AF4995" s="93"/>
      <c r="AG4995" s="93"/>
      <c r="AH4995" s="93"/>
      <c r="AI4995" s="93"/>
      <c r="AJ4995" s="93"/>
    </row>
    <row r="4996" spans="30:36" ht="18">
      <c r="AD4996" s="93"/>
      <c r="AE4996" s="214"/>
      <c r="AF4996" s="93"/>
      <c r="AG4996" s="93"/>
      <c r="AH4996" s="93"/>
      <c r="AI4996" s="93"/>
      <c r="AJ4996" s="93"/>
    </row>
    <row r="4997" spans="30:36" ht="18">
      <c r="AD4997" s="93"/>
      <c r="AE4997" s="214"/>
      <c r="AF4997" s="93"/>
      <c r="AG4997" s="93"/>
      <c r="AH4997" s="93"/>
      <c r="AI4997" s="93"/>
      <c r="AJ4997" s="93"/>
    </row>
    <row r="4998" spans="30:36" ht="18">
      <c r="AD4998" s="93"/>
      <c r="AE4998" s="214"/>
      <c r="AF4998" s="93"/>
      <c r="AG4998" s="93"/>
      <c r="AH4998" s="93"/>
      <c r="AI4998" s="93"/>
      <c r="AJ4998" s="93"/>
    </row>
    <row r="4999" spans="30:36" ht="18">
      <c r="AD4999" s="93"/>
      <c r="AE4999" s="214"/>
      <c r="AF4999" s="93"/>
      <c r="AG4999" s="93"/>
      <c r="AH4999" s="93"/>
      <c r="AI4999" s="93"/>
      <c r="AJ4999" s="93"/>
    </row>
    <row r="5000" spans="30:36" ht="18">
      <c r="AD5000" s="93"/>
      <c r="AE5000" s="214"/>
      <c r="AF5000" s="93"/>
      <c r="AG5000" s="93"/>
      <c r="AH5000" s="93"/>
      <c r="AI5000" s="93"/>
      <c r="AJ5000" s="93"/>
    </row>
    <row r="5001" spans="30:36" ht="18">
      <c r="AD5001" s="93"/>
      <c r="AE5001" s="214"/>
      <c r="AF5001" s="93"/>
      <c r="AG5001" s="93"/>
      <c r="AH5001" s="93"/>
      <c r="AI5001" s="93"/>
      <c r="AJ5001" s="93"/>
    </row>
    <row r="5002" spans="30:36" ht="18">
      <c r="AD5002" s="93"/>
      <c r="AE5002" s="214"/>
      <c r="AF5002" s="93"/>
      <c r="AG5002" s="93"/>
      <c r="AH5002" s="93"/>
      <c r="AI5002" s="93"/>
      <c r="AJ5002" s="93"/>
    </row>
    <row r="5003" spans="30:36" ht="18">
      <c r="AD5003" s="93"/>
      <c r="AE5003" s="214"/>
      <c r="AF5003" s="93"/>
      <c r="AG5003" s="93"/>
      <c r="AH5003" s="93"/>
      <c r="AI5003" s="93"/>
      <c r="AJ5003" s="93"/>
    </row>
    <row r="5004" spans="30:36" ht="18">
      <c r="AD5004" s="93"/>
      <c r="AE5004" s="214"/>
      <c r="AF5004" s="93"/>
      <c r="AG5004" s="93"/>
      <c r="AH5004" s="93"/>
      <c r="AI5004" s="93"/>
      <c r="AJ5004" s="93"/>
    </row>
    <row r="5005" spans="30:36" ht="18">
      <c r="AD5005" s="93"/>
      <c r="AE5005" s="214"/>
      <c r="AF5005" s="93"/>
      <c r="AG5005" s="93"/>
      <c r="AH5005" s="93"/>
      <c r="AI5005" s="93"/>
      <c r="AJ5005" s="93"/>
    </row>
    <row r="5006" spans="30:36" ht="18">
      <c r="AD5006" s="93"/>
      <c r="AE5006" s="214"/>
      <c r="AF5006" s="93"/>
      <c r="AG5006" s="93"/>
      <c r="AH5006" s="93"/>
      <c r="AI5006" s="93"/>
      <c r="AJ5006" s="93"/>
    </row>
    <row r="5007" spans="30:36" ht="18">
      <c r="AD5007" s="93"/>
      <c r="AE5007" s="214"/>
      <c r="AF5007" s="93"/>
      <c r="AG5007" s="93"/>
      <c r="AH5007" s="93"/>
      <c r="AI5007" s="93"/>
      <c r="AJ5007" s="93"/>
    </row>
    <row r="5008" spans="30:36" ht="18">
      <c r="AD5008" s="93"/>
      <c r="AE5008" s="214"/>
      <c r="AF5008" s="93"/>
      <c r="AG5008" s="93"/>
      <c r="AH5008" s="93"/>
      <c r="AI5008" s="93"/>
      <c r="AJ5008" s="93"/>
    </row>
    <row r="5009" spans="30:36" ht="18">
      <c r="AD5009" s="93"/>
      <c r="AE5009" s="214"/>
      <c r="AF5009" s="93"/>
      <c r="AG5009" s="93"/>
      <c r="AH5009" s="93"/>
      <c r="AI5009" s="93"/>
      <c r="AJ5009" s="93"/>
    </row>
    <row r="5010" spans="30:36" ht="18">
      <c r="AD5010" s="93"/>
      <c r="AE5010" s="214"/>
      <c r="AF5010" s="93"/>
      <c r="AG5010" s="93"/>
      <c r="AH5010" s="93"/>
      <c r="AI5010" s="93"/>
      <c r="AJ5010" s="93"/>
    </row>
    <row r="5011" spans="30:36" ht="18">
      <c r="AD5011" s="93"/>
      <c r="AE5011" s="214"/>
      <c r="AF5011" s="93"/>
      <c r="AG5011" s="93"/>
      <c r="AH5011" s="93"/>
      <c r="AI5011" s="93"/>
      <c r="AJ5011" s="93"/>
    </row>
    <row r="5012" spans="30:36" ht="18">
      <c r="AD5012" s="93"/>
      <c r="AE5012" s="214"/>
      <c r="AF5012" s="93"/>
      <c r="AG5012" s="93"/>
      <c r="AH5012" s="93"/>
      <c r="AI5012" s="93"/>
      <c r="AJ5012" s="93"/>
    </row>
    <row r="5013" spans="30:36" ht="18">
      <c r="AD5013" s="93"/>
      <c r="AE5013" s="214"/>
      <c r="AF5013" s="93"/>
      <c r="AG5013" s="93"/>
      <c r="AH5013" s="93"/>
      <c r="AI5013" s="93"/>
      <c r="AJ5013" s="93"/>
    </row>
    <row r="5014" spans="30:36" ht="18">
      <c r="AD5014" s="93"/>
      <c r="AE5014" s="214"/>
      <c r="AF5014" s="93"/>
      <c r="AG5014" s="93"/>
      <c r="AH5014" s="93"/>
      <c r="AI5014" s="93"/>
      <c r="AJ5014" s="93"/>
    </row>
    <row r="5015" spans="30:36" ht="18">
      <c r="AD5015" s="93"/>
      <c r="AE5015" s="214"/>
      <c r="AF5015" s="93"/>
      <c r="AG5015" s="93"/>
      <c r="AH5015" s="93"/>
      <c r="AI5015" s="93"/>
      <c r="AJ5015" s="93"/>
    </row>
    <row r="5016" spans="30:36" ht="18">
      <c r="AD5016" s="93"/>
      <c r="AE5016" s="214"/>
      <c r="AF5016" s="93"/>
      <c r="AG5016" s="93"/>
      <c r="AH5016" s="93"/>
      <c r="AI5016" s="93"/>
      <c r="AJ5016" s="93"/>
    </row>
    <row r="5017" spans="30:36" ht="18">
      <c r="AD5017" s="93"/>
      <c r="AE5017" s="214"/>
      <c r="AF5017" s="93"/>
      <c r="AG5017" s="93"/>
      <c r="AH5017" s="93"/>
      <c r="AI5017" s="93"/>
      <c r="AJ5017" s="93"/>
    </row>
    <row r="5018" spans="30:36" ht="18">
      <c r="AD5018" s="93"/>
      <c r="AE5018" s="214"/>
      <c r="AF5018" s="93"/>
      <c r="AG5018" s="93"/>
      <c r="AH5018" s="93"/>
      <c r="AI5018" s="93"/>
      <c r="AJ5018" s="93"/>
    </row>
    <row r="5019" spans="30:36" ht="18">
      <c r="AD5019" s="93"/>
      <c r="AE5019" s="214"/>
      <c r="AF5019" s="93"/>
      <c r="AG5019" s="93"/>
      <c r="AH5019" s="93"/>
      <c r="AI5019" s="93"/>
      <c r="AJ5019" s="93"/>
    </row>
    <row r="5020" spans="30:36" ht="18">
      <c r="AD5020" s="93"/>
      <c r="AE5020" s="214"/>
      <c r="AF5020" s="93"/>
      <c r="AG5020" s="93"/>
      <c r="AH5020" s="93"/>
      <c r="AI5020" s="93"/>
      <c r="AJ5020" s="93"/>
    </row>
    <row r="5021" spans="30:36" ht="18">
      <c r="AD5021" s="93"/>
      <c r="AE5021" s="214"/>
      <c r="AF5021" s="93"/>
      <c r="AG5021" s="93"/>
      <c r="AH5021" s="93"/>
      <c r="AI5021" s="93"/>
      <c r="AJ5021" s="93"/>
    </row>
    <row r="5022" spans="30:36" ht="18">
      <c r="AD5022" s="93"/>
      <c r="AE5022" s="214"/>
      <c r="AF5022" s="93"/>
      <c r="AG5022" s="93"/>
      <c r="AH5022" s="93"/>
      <c r="AI5022" s="93"/>
      <c r="AJ5022" s="93"/>
    </row>
    <row r="5023" spans="30:36" ht="18">
      <c r="AD5023" s="93"/>
      <c r="AE5023" s="214"/>
      <c r="AF5023" s="93"/>
      <c r="AG5023" s="93"/>
      <c r="AH5023" s="93"/>
      <c r="AI5023" s="93"/>
      <c r="AJ5023" s="93"/>
    </row>
    <row r="5024" spans="30:36" ht="18">
      <c r="AD5024" s="93"/>
      <c r="AE5024" s="214"/>
      <c r="AF5024" s="93"/>
      <c r="AG5024" s="93"/>
      <c r="AH5024" s="93"/>
      <c r="AI5024" s="93"/>
      <c r="AJ5024" s="93"/>
    </row>
    <row r="5025" spans="30:36" ht="18">
      <c r="AD5025" s="93"/>
      <c r="AE5025" s="214"/>
      <c r="AF5025" s="93"/>
      <c r="AG5025" s="93"/>
      <c r="AH5025" s="93"/>
      <c r="AI5025" s="93"/>
      <c r="AJ5025" s="93"/>
    </row>
    <row r="5026" spans="30:36" ht="18">
      <c r="AD5026" s="93"/>
      <c r="AE5026" s="214"/>
      <c r="AF5026" s="93"/>
      <c r="AG5026" s="93"/>
      <c r="AH5026" s="93"/>
      <c r="AI5026" s="93"/>
      <c r="AJ5026" s="93"/>
    </row>
    <row r="5027" spans="30:36" ht="18">
      <c r="AD5027" s="93"/>
      <c r="AE5027" s="214"/>
      <c r="AF5027" s="93"/>
      <c r="AG5027" s="93"/>
      <c r="AH5027" s="93"/>
      <c r="AI5027" s="93"/>
      <c r="AJ5027" s="93"/>
    </row>
    <row r="5028" spans="30:36" ht="18">
      <c r="AD5028" s="93"/>
      <c r="AE5028" s="214"/>
      <c r="AF5028" s="93"/>
      <c r="AG5028" s="93"/>
      <c r="AH5028" s="93"/>
      <c r="AI5028" s="93"/>
      <c r="AJ5028" s="93"/>
    </row>
    <row r="5029" spans="30:36" ht="18">
      <c r="AD5029" s="93"/>
      <c r="AE5029" s="214"/>
      <c r="AF5029" s="93"/>
      <c r="AG5029" s="93"/>
      <c r="AH5029" s="93"/>
      <c r="AI5029" s="93"/>
      <c r="AJ5029" s="93"/>
    </row>
    <row r="5030" spans="30:36" ht="18">
      <c r="AD5030" s="93"/>
      <c r="AE5030" s="214"/>
      <c r="AF5030" s="93"/>
      <c r="AG5030" s="93"/>
      <c r="AH5030" s="93"/>
      <c r="AI5030" s="93"/>
      <c r="AJ5030" s="93"/>
    </row>
    <row r="5031" spans="30:36" ht="18">
      <c r="AD5031" s="93"/>
      <c r="AE5031" s="214"/>
      <c r="AF5031" s="93"/>
      <c r="AG5031" s="93"/>
      <c r="AH5031" s="93"/>
      <c r="AI5031" s="93"/>
      <c r="AJ5031" s="93"/>
    </row>
    <row r="5032" spans="30:36" ht="18">
      <c r="AD5032" s="93"/>
      <c r="AE5032" s="214"/>
      <c r="AF5032" s="93"/>
      <c r="AG5032" s="93"/>
      <c r="AH5032" s="93"/>
      <c r="AI5032" s="93"/>
      <c r="AJ5032" s="93"/>
    </row>
    <row r="5033" spans="30:36" ht="18">
      <c r="AD5033" s="93"/>
      <c r="AE5033" s="214"/>
      <c r="AF5033" s="93"/>
      <c r="AG5033" s="93"/>
      <c r="AH5033" s="93"/>
      <c r="AI5033" s="93"/>
      <c r="AJ5033" s="93"/>
    </row>
    <row r="5034" spans="30:36" ht="18">
      <c r="AD5034" s="93"/>
      <c r="AE5034" s="214"/>
      <c r="AF5034" s="93"/>
      <c r="AG5034" s="93"/>
      <c r="AH5034" s="93"/>
      <c r="AI5034" s="93"/>
      <c r="AJ5034" s="93"/>
    </row>
    <row r="5035" spans="30:36" ht="18">
      <c r="AD5035" s="93"/>
      <c r="AE5035" s="214"/>
      <c r="AF5035" s="93"/>
      <c r="AG5035" s="93"/>
      <c r="AH5035" s="93"/>
      <c r="AI5035" s="93"/>
      <c r="AJ5035" s="93"/>
    </row>
    <row r="5036" spans="30:36" ht="18">
      <c r="AD5036" s="93"/>
      <c r="AE5036" s="214"/>
      <c r="AF5036" s="93"/>
      <c r="AG5036" s="93"/>
      <c r="AH5036" s="93"/>
      <c r="AI5036" s="93"/>
      <c r="AJ5036" s="93"/>
    </row>
    <row r="5037" spans="30:36" ht="18">
      <c r="AD5037" s="93"/>
      <c r="AE5037" s="214"/>
      <c r="AF5037" s="93"/>
      <c r="AG5037" s="93"/>
      <c r="AH5037" s="93"/>
      <c r="AI5037" s="93"/>
      <c r="AJ5037" s="93"/>
    </row>
    <row r="5038" spans="30:36" ht="18">
      <c r="AD5038" s="93"/>
      <c r="AE5038" s="214"/>
      <c r="AF5038" s="93"/>
      <c r="AG5038" s="93"/>
      <c r="AH5038" s="93"/>
      <c r="AI5038" s="93"/>
      <c r="AJ5038" s="93"/>
    </row>
    <row r="5039" spans="30:36" ht="18">
      <c r="AD5039" s="93"/>
      <c r="AE5039" s="214"/>
      <c r="AF5039" s="93"/>
      <c r="AG5039" s="93"/>
      <c r="AH5039" s="93"/>
      <c r="AI5039" s="93"/>
      <c r="AJ5039" s="93"/>
    </row>
    <row r="5040" spans="30:36" ht="18">
      <c r="AD5040" s="93"/>
      <c r="AE5040" s="214"/>
      <c r="AF5040" s="93"/>
      <c r="AG5040" s="93"/>
      <c r="AH5040" s="93"/>
      <c r="AI5040" s="93"/>
      <c r="AJ5040" s="93"/>
    </row>
    <row r="5041" spans="30:36" ht="18">
      <c r="AD5041" s="93"/>
      <c r="AE5041" s="214"/>
      <c r="AF5041" s="93"/>
      <c r="AG5041" s="93"/>
      <c r="AH5041" s="93"/>
      <c r="AI5041" s="93"/>
      <c r="AJ5041" s="93"/>
    </row>
    <row r="5042" spans="30:36" ht="18">
      <c r="AD5042" s="93"/>
      <c r="AE5042" s="214"/>
      <c r="AF5042" s="93"/>
      <c r="AG5042" s="93"/>
      <c r="AH5042" s="93"/>
      <c r="AI5042" s="93"/>
      <c r="AJ5042" s="93"/>
    </row>
    <row r="5043" spans="30:36" ht="18">
      <c r="AD5043" s="93"/>
      <c r="AE5043" s="214"/>
      <c r="AF5043" s="93"/>
      <c r="AG5043" s="93"/>
      <c r="AH5043" s="93"/>
      <c r="AI5043" s="93"/>
      <c r="AJ5043" s="93"/>
    </row>
    <row r="5044" spans="30:36" ht="18">
      <c r="AD5044" s="93"/>
      <c r="AE5044" s="215"/>
      <c r="AF5044" s="93"/>
      <c r="AG5044" s="93"/>
      <c r="AH5044" s="93"/>
      <c r="AI5044" s="93"/>
      <c r="AJ5044" s="93"/>
    </row>
    <row r="5045" spans="30:36" ht="18">
      <c r="AD5045" s="93"/>
      <c r="AE5045" s="214"/>
      <c r="AF5045" s="93"/>
      <c r="AG5045" s="93"/>
      <c r="AH5045" s="93"/>
      <c r="AI5045" s="93"/>
      <c r="AJ5045" s="93"/>
    </row>
    <row r="5046" spans="30:36" ht="18">
      <c r="AD5046" s="93"/>
      <c r="AE5046" s="214"/>
      <c r="AF5046" s="93"/>
      <c r="AG5046" s="93"/>
      <c r="AH5046" s="93"/>
      <c r="AI5046" s="93"/>
      <c r="AJ5046" s="93"/>
    </row>
    <row r="5047" spans="30:36" ht="18">
      <c r="AD5047" s="93"/>
      <c r="AE5047" s="214"/>
      <c r="AF5047" s="93"/>
      <c r="AG5047" s="93"/>
      <c r="AH5047" s="93"/>
      <c r="AI5047" s="93"/>
      <c r="AJ5047" s="93"/>
    </row>
    <row r="5048" spans="30:36" ht="18">
      <c r="AD5048" s="93"/>
      <c r="AE5048" s="214"/>
      <c r="AF5048" s="93"/>
      <c r="AG5048" s="93"/>
      <c r="AH5048" s="93"/>
      <c r="AI5048" s="93"/>
      <c r="AJ5048" s="93"/>
    </row>
    <row r="5049" spans="30:36" ht="18">
      <c r="AD5049" s="93"/>
      <c r="AE5049" s="214"/>
      <c r="AF5049" s="93"/>
      <c r="AG5049" s="93"/>
      <c r="AH5049" s="93"/>
      <c r="AI5049" s="93"/>
      <c r="AJ5049" s="93"/>
    </row>
    <row r="5050" spans="30:36" ht="18">
      <c r="AD5050" s="93"/>
      <c r="AE5050" s="214"/>
      <c r="AF5050" s="93"/>
      <c r="AG5050" s="93"/>
      <c r="AH5050" s="93"/>
      <c r="AI5050" s="93"/>
      <c r="AJ5050" s="93"/>
    </row>
    <row r="5051" spans="30:36" ht="18">
      <c r="AD5051" s="93"/>
      <c r="AE5051" s="214"/>
      <c r="AF5051" s="93"/>
      <c r="AG5051" s="93"/>
      <c r="AH5051" s="93"/>
      <c r="AI5051" s="93"/>
      <c r="AJ5051" s="93"/>
    </row>
    <row r="5052" spans="30:36" ht="18">
      <c r="AD5052" s="93"/>
      <c r="AE5052" s="214"/>
      <c r="AF5052" s="93"/>
      <c r="AG5052" s="93"/>
      <c r="AH5052" s="93"/>
      <c r="AI5052" s="93"/>
      <c r="AJ5052" s="93"/>
    </row>
    <row r="5053" spans="30:36" ht="18">
      <c r="AD5053" s="93"/>
      <c r="AE5053" s="214"/>
      <c r="AF5053" s="93"/>
      <c r="AG5053" s="93"/>
      <c r="AH5053" s="93"/>
      <c r="AI5053" s="93"/>
      <c r="AJ5053" s="93"/>
    </row>
    <row r="5054" spans="30:36" ht="18">
      <c r="AD5054" s="93"/>
      <c r="AE5054" s="214"/>
      <c r="AF5054" s="93"/>
      <c r="AG5054" s="93"/>
      <c r="AH5054" s="93"/>
      <c r="AI5054" s="93"/>
      <c r="AJ5054" s="93"/>
    </row>
    <row r="5055" spans="30:36" ht="18">
      <c r="AD5055" s="93"/>
      <c r="AE5055" s="214"/>
      <c r="AF5055" s="93"/>
      <c r="AG5055" s="93"/>
      <c r="AH5055" s="93"/>
      <c r="AI5055" s="93"/>
      <c r="AJ5055" s="93"/>
    </row>
    <row r="5056" spans="30:36" ht="18">
      <c r="AD5056" s="93"/>
      <c r="AE5056" s="214"/>
      <c r="AF5056" s="93"/>
      <c r="AG5056" s="93"/>
      <c r="AH5056" s="93"/>
      <c r="AI5056" s="93"/>
      <c r="AJ5056" s="93"/>
    </row>
    <row r="5057" spans="30:36" ht="18">
      <c r="AD5057" s="93"/>
      <c r="AE5057" s="214"/>
      <c r="AF5057" s="93"/>
      <c r="AG5057" s="93"/>
      <c r="AH5057" s="93"/>
      <c r="AI5057" s="93"/>
      <c r="AJ5057" s="93"/>
    </row>
    <row r="5058" spans="30:36" ht="18">
      <c r="AD5058" s="93"/>
      <c r="AE5058" s="214"/>
      <c r="AF5058" s="93"/>
      <c r="AG5058" s="93"/>
      <c r="AH5058" s="93"/>
      <c r="AI5058" s="93"/>
      <c r="AJ5058" s="93"/>
    </row>
    <row r="5059" spans="30:36" ht="18">
      <c r="AD5059" s="93"/>
      <c r="AE5059" s="214"/>
      <c r="AF5059" s="93"/>
      <c r="AG5059" s="93"/>
      <c r="AH5059" s="93"/>
      <c r="AI5059" s="93"/>
      <c r="AJ5059" s="93"/>
    </row>
    <row r="5060" spans="30:36" ht="18">
      <c r="AD5060" s="93"/>
      <c r="AE5060" s="214"/>
      <c r="AF5060" s="93"/>
      <c r="AG5060" s="93"/>
      <c r="AH5060" s="93"/>
      <c r="AI5060" s="93"/>
      <c r="AJ5060" s="93"/>
    </row>
    <row r="5061" spans="30:36" ht="18">
      <c r="AD5061" s="93"/>
      <c r="AE5061" s="214"/>
      <c r="AF5061" s="93"/>
      <c r="AG5061" s="93"/>
      <c r="AH5061" s="93"/>
      <c r="AI5061" s="93"/>
      <c r="AJ5061" s="93"/>
    </row>
    <row r="5062" spans="30:36" ht="18">
      <c r="AD5062" s="93"/>
      <c r="AE5062" s="214"/>
      <c r="AF5062" s="93"/>
      <c r="AG5062" s="93"/>
      <c r="AH5062" s="93"/>
      <c r="AI5062" s="93"/>
      <c r="AJ5062" s="93"/>
    </row>
    <row r="5063" spans="30:36" ht="18">
      <c r="AD5063" s="93"/>
      <c r="AE5063" s="215"/>
      <c r="AF5063" s="93"/>
      <c r="AG5063" s="93"/>
      <c r="AH5063" s="93"/>
      <c r="AI5063" s="93"/>
      <c r="AJ5063" s="93"/>
    </row>
    <row r="5064" spans="30:36" ht="18">
      <c r="AD5064" s="93"/>
      <c r="AE5064" s="214"/>
      <c r="AF5064" s="93"/>
      <c r="AG5064" s="93"/>
      <c r="AH5064" s="93"/>
      <c r="AI5064" s="93"/>
      <c r="AJ5064" s="93"/>
    </row>
    <row r="5065" spans="30:36" ht="18">
      <c r="AD5065" s="93"/>
      <c r="AE5065" s="214"/>
      <c r="AF5065" s="93"/>
      <c r="AG5065" s="93"/>
      <c r="AH5065" s="93"/>
      <c r="AI5065" s="93"/>
      <c r="AJ5065" s="93"/>
    </row>
    <row r="5066" spans="30:36" ht="18">
      <c r="AD5066" s="93"/>
      <c r="AE5066" s="214"/>
      <c r="AF5066" s="93"/>
      <c r="AG5066" s="93"/>
      <c r="AH5066" s="93"/>
      <c r="AI5066" s="93"/>
      <c r="AJ5066" s="93"/>
    </row>
    <row r="5067" spans="30:36" ht="18">
      <c r="AD5067" s="93"/>
      <c r="AE5067" s="214"/>
      <c r="AF5067" s="93"/>
      <c r="AG5067" s="93"/>
      <c r="AH5067" s="93"/>
      <c r="AI5067" s="93"/>
      <c r="AJ5067" s="93"/>
    </row>
    <row r="5068" spans="30:36" ht="18">
      <c r="AD5068" s="93"/>
      <c r="AE5068" s="214"/>
      <c r="AF5068" s="93"/>
      <c r="AG5068" s="93"/>
      <c r="AH5068" s="93"/>
      <c r="AI5068" s="93"/>
      <c r="AJ5068" s="93"/>
    </row>
    <row r="5069" spans="30:36" ht="18">
      <c r="AD5069" s="93"/>
      <c r="AE5069" s="214"/>
      <c r="AF5069" s="93"/>
      <c r="AG5069" s="93"/>
      <c r="AH5069" s="93"/>
      <c r="AI5069" s="93"/>
      <c r="AJ5069" s="93"/>
    </row>
    <row r="5070" spans="30:36" ht="18">
      <c r="AD5070" s="93"/>
      <c r="AE5070" s="214"/>
      <c r="AF5070" s="93"/>
      <c r="AG5070" s="93"/>
      <c r="AH5070" s="93"/>
      <c r="AI5070" s="93"/>
      <c r="AJ5070" s="93"/>
    </row>
    <row r="5071" spans="30:36" ht="18">
      <c r="AD5071" s="93"/>
      <c r="AE5071" s="214"/>
      <c r="AF5071" s="93"/>
      <c r="AG5071" s="93"/>
      <c r="AH5071" s="93"/>
      <c r="AI5071" s="93"/>
      <c r="AJ5071" s="93"/>
    </row>
    <row r="5072" spans="30:36" ht="18">
      <c r="AD5072" s="93"/>
      <c r="AE5072" s="214"/>
      <c r="AF5072" s="93"/>
      <c r="AG5072" s="93"/>
      <c r="AH5072" s="93"/>
      <c r="AI5072" s="93"/>
      <c r="AJ5072" s="93"/>
    </row>
    <row r="5073" spans="30:36" ht="18">
      <c r="AD5073" s="93"/>
      <c r="AE5073" s="214"/>
      <c r="AF5073" s="93"/>
      <c r="AG5073" s="93"/>
      <c r="AH5073" s="93"/>
      <c r="AI5073" s="93"/>
      <c r="AJ5073" s="93"/>
    </row>
    <row r="5074" spans="30:36" ht="18">
      <c r="AD5074" s="93"/>
      <c r="AE5074" s="214"/>
      <c r="AF5074" s="93"/>
      <c r="AG5074" s="93"/>
      <c r="AH5074" s="93"/>
      <c r="AI5074" s="93"/>
      <c r="AJ5074" s="93"/>
    </row>
    <row r="5075" spans="30:36" ht="18">
      <c r="AD5075" s="93"/>
      <c r="AE5075" s="214"/>
      <c r="AF5075" s="93"/>
      <c r="AG5075" s="93"/>
      <c r="AH5075" s="93"/>
      <c r="AI5075" s="93"/>
      <c r="AJ5075" s="93"/>
    </row>
    <row r="5076" spans="30:36" ht="18">
      <c r="AD5076" s="93"/>
      <c r="AE5076" s="214"/>
      <c r="AF5076" s="93"/>
      <c r="AG5076" s="93"/>
      <c r="AH5076" s="93"/>
      <c r="AI5076" s="93"/>
      <c r="AJ5076" s="93"/>
    </row>
    <row r="5077" spans="30:36" ht="18">
      <c r="AD5077" s="93"/>
      <c r="AE5077" s="215"/>
      <c r="AF5077" s="93"/>
      <c r="AG5077" s="93"/>
      <c r="AH5077" s="93"/>
      <c r="AI5077" s="93"/>
      <c r="AJ5077" s="93"/>
    </row>
    <row r="5078" spans="30:36" ht="18">
      <c r="AD5078" s="93"/>
      <c r="AE5078" s="215"/>
      <c r="AF5078" s="93"/>
      <c r="AG5078" s="93"/>
      <c r="AH5078" s="93"/>
      <c r="AI5078" s="93"/>
      <c r="AJ5078" s="93"/>
    </row>
    <row r="5079" spans="30:36" ht="18">
      <c r="AD5079" s="93"/>
      <c r="AE5079" s="214"/>
      <c r="AF5079" s="93"/>
      <c r="AG5079" s="93"/>
      <c r="AH5079" s="93"/>
      <c r="AI5079" s="93"/>
      <c r="AJ5079" s="93"/>
    </row>
    <row r="5080" spans="30:36" ht="18">
      <c r="AD5080" s="93"/>
      <c r="AE5080" s="214"/>
      <c r="AF5080" s="93"/>
      <c r="AG5080" s="93"/>
      <c r="AH5080" s="93"/>
      <c r="AI5080" s="93"/>
      <c r="AJ5080" s="93"/>
    </row>
    <row r="5081" spans="30:36" ht="18">
      <c r="AD5081" s="93"/>
      <c r="AE5081" s="214"/>
      <c r="AF5081" s="93"/>
      <c r="AG5081" s="93"/>
      <c r="AH5081" s="93"/>
      <c r="AI5081" s="93"/>
      <c r="AJ5081" s="93"/>
    </row>
    <row r="5082" spans="30:36" ht="18">
      <c r="AD5082" s="93"/>
      <c r="AE5082" s="214"/>
      <c r="AF5082" s="93"/>
      <c r="AG5082" s="93"/>
      <c r="AH5082" s="93"/>
      <c r="AI5082" s="93"/>
      <c r="AJ5082" s="93"/>
    </row>
    <row r="5083" spans="30:36" ht="18">
      <c r="AD5083" s="93"/>
      <c r="AE5083" s="214"/>
      <c r="AF5083" s="93"/>
      <c r="AG5083" s="93"/>
      <c r="AH5083" s="93"/>
      <c r="AI5083" s="93"/>
      <c r="AJ5083" s="93"/>
    </row>
    <row r="5084" spans="30:36" ht="18">
      <c r="AD5084" s="93"/>
      <c r="AE5084" s="214"/>
      <c r="AF5084" s="93"/>
      <c r="AG5084" s="93"/>
      <c r="AH5084" s="93"/>
      <c r="AI5084" s="93"/>
      <c r="AJ5084" s="93"/>
    </row>
    <row r="5085" spans="30:36" ht="18">
      <c r="AD5085" s="93"/>
      <c r="AE5085" s="214"/>
      <c r="AF5085" s="93"/>
      <c r="AG5085" s="93"/>
      <c r="AH5085" s="93"/>
      <c r="AI5085" s="93"/>
      <c r="AJ5085" s="93"/>
    </row>
    <row r="5086" spans="30:36" ht="18">
      <c r="AD5086" s="93"/>
      <c r="AE5086" s="214"/>
      <c r="AF5086" s="93"/>
      <c r="AG5086" s="93"/>
      <c r="AH5086" s="93"/>
      <c r="AI5086" s="93"/>
      <c r="AJ5086" s="93"/>
    </row>
    <row r="5087" spans="30:36" ht="18">
      <c r="AD5087" s="93"/>
      <c r="AE5087" s="214"/>
      <c r="AF5087" s="93"/>
      <c r="AG5087" s="93"/>
      <c r="AH5087" s="93"/>
      <c r="AI5087" s="93"/>
      <c r="AJ5087" s="93"/>
    </row>
    <row r="5088" spans="30:36" ht="18">
      <c r="AD5088" s="93"/>
      <c r="AE5088" s="214"/>
      <c r="AF5088" s="93"/>
      <c r="AG5088" s="93"/>
      <c r="AH5088" s="93"/>
      <c r="AI5088" s="93"/>
      <c r="AJ5088" s="93"/>
    </row>
    <row r="5089" spans="30:36" ht="18">
      <c r="AD5089" s="93"/>
      <c r="AE5089" s="214"/>
      <c r="AF5089" s="93"/>
      <c r="AG5089" s="93"/>
      <c r="AH5089" s="93"/>
      <c r="AI5089" s="93"/>
      <c r="AJ5089" s="93"/>
    </row>
    <row r="5090" spans="30:36" ht="18">
      <c r="AD5090" s="93"/>
      <c r="AE5090" s="214"/>
      <c r="AF5090" s="93"/>
      <c r="AG5090" s="93"/>
      <c r="AH5090" s="93"/>
      <c r="AI5090" s="93"/>
      <c r="AJ5090" s="93"/>
    </row>
    <row r="5091" spans="30:36" ht="18">
      <c r="AD5091" s="93"/>
      <c r="AE5091" s="214"/>
      <c r="AF5091" s="93"/>
      <c r="AG5091" s="93"/>
      <c r="AH5091" s="93"/>
      <c r="AI5091" s="93"/>
      <c r="AJ5091" s="93"/>
    </row>
    <row r="5092" spans="30:36" ht="18">
      <c r="AD5092" s="93"/>
      <c r="AE5092" s="214"/>
      <c r="AF5092" s="93"/>
      <c r="AG5092" s="93"/>
      <c r="AH5092" s="93"/>
      <c r="AI5092" s="93"/>
      <c r="AJ5092" s="93"/>
    </row>
    <row r="5093" spans="30:36" ht="18">
      <c r="AD5093" s="93"/>
      <c r="AE5093" s="214"/>
      <c r="AF5093" s="93"/>
      <c r="AG5093" s="93"/>
      <c r="AH5093" s="93"/>
      <c r="AI5093" s="93"/>
      <c r="AJ5093" s="93"/>
    </row>
    <row r="5094" spans="30:36" ht="18">
      <c r="AD5094" s="93"/>
      <c r="AE5094" s="214"/>
      <c r="AF5094" s="93"/>
      <c r="AG5094" s="93"/>
      <c r="AH5094" s="93"/>
      <c r="AI5094" s="93"/>
      <c r="AJ5094" s="93"/>
    </row>
    <row r="5095" spans="30:36" ht="18">
      <c r="AD5095" s="93"/>
      <c r="AE5095" s="214"/>
      <c r="AF5095" s="93"/>
      <c r="AG5095" s="93"/>
      <c r="AH5095" s="93"/>
      <c r="AI5095" s="93"/>
      <c r="AJ5095" s="93"/>
    </row>
    <row r="5096" spans="30:36" ht="18">
      <c r="AD5096" s="93"/>
      <c r="AE5096" s="214"/>
      <c r="AF5096" s="93"/>
      <c r="AG5096" s="93"/>
      <c r="AH5096" s="93"/>
      <c r="AI5096" s="93"/>
      <c r="AJ5096" s="93"/>
    </row>
    <row r="5097" spans="30:36" ht="18">
      <c r="AD5097" s="93"/>
      <c r="AE5097" s="214"/>
      <c r="AF5097" s="93"/>
      <c r="AG5097" s="93"/>
      <c r="AH5097" s="93"/>
      <c r="AI5097" s="93"/>
      <c r="AJ5097" s="93"/>
    </row>
    <row r="5098" spans="30:36" ht="18">
      <c r="AD5098" s="93"/>
      <c r="AE5098" s="214"/>
      <c r="AF5098" s="93"/>
      <c r="AG5098" s="93"/>
      <c r="AH5098" s="93"/>
      <c r="AI5098" s="93"/>
      <c r="AJ5098" s="93"/>
    </row>
    <row r="5099" spans="30:36" ht="18">
      <c r="AD5099" s="93"/>
      <c r="AE5099" s="214"/>
      <c r="AF5099" s="93"/>
      <c r="AG5099" s="93"/>
      <c r="AH5099" s="93"/>
      <c r="AI5099" s="93"/>
      <c r="AJ5099" s="93"/>
    </row>
    <row r="5100" spans="30:36" ht="18">
      <c r="AD5100" s="93"/>
      <c r="AE5100" s="214"/>
      <c r="AF5100" s="93"/>
      <c r="AG5100" s="93"/>
      <c r="AH5100" s="93"/>
      <c r="AI5100" s="93"/>
      <c r="AJ5100" s="93"/>
    </row>
    <row r="5101" spans="30:36" ht="18">
      <c r="AD5101" s="93"/>
      <c r="AE5101" s="214"/>
      <c r="AF5101" s="93"/>
      <c r="AG5101" s="93"/>
      <c r="AH5101" s="93"/>
      <c r="AI5101" s="93"/>
      <c r="AJ5101" s="93"/>
    </row>
    <row r="5102" spans="30:36" ht="18">
      <c r="AD5102" s="93"/>
      <c r="AE5102" s="214"/>
      <c r="AF5102" s="93"/>
      <c r="AG5102" s="93"/>
      <c r="AH5102" s="93"/>
      <c r="AI5102" s="93"/>
      <c r="AJ5102" s="93"/>
    </row>
    <row r="5103" spans="30:36" ht="18">
      <c r="AD5103" s="93"/>
      <c r="AE5103" s="214"/>
      <c r="AF5103" s="93"/>
      <c r="AG5103" s="93"/>
      <c r="AH5103" s="93"/>
      <c r="AI5103" s="93"/>
      <c r="AJ5103" s="93"/>
    </row>
    <row r="5104" spans="30:36" ht="18">
      <c r="AD5104" s="93"/>
      <c r="AE5104" s="214"/>
      <c r="AF5104" s="93"/>
      <c r="AG5104" s="93"/>
      <c r="AH5104" s="93"/>
      <c r="AI5104" s="93"/>
      <c r="AJ5104" s="93"/>
    </row>
    <row r="5105" spans="30:36" ht="18">
      <c r="AD5105" s="93"/>
      <c r="AE5105" s="214"/>
      <c r="AF5105" s="93"/>
      <c r="AG5105" s="93"/>
      <c r="AH5105" s="93"/>
      <c r="AI5105" s="93"/>
      <c r="AJ5105" s="93"/>
    </row>
    <row r="5106" spans="30:36" ht="18">
      <c r="AD5106" s="93"/>
      <c r="AE5106" s="214"/>
      <c r="AF5106" s="93"/>
      <c r="AG5106" s="93"/>
      <c r="AH5106" s="93"/>
      <c r="AI5106" s="93"/>
      <c r="AJ5106" s="93"/>
    </row>
    <row r="5107" spans="30:36" ht="18">
      <c r="AD5107" s="93"/>
      <c r="AE5107" s="214"/>
      <c r="AF5107" s="93"/>
      <c r="AG5107" s="93"/>
      <c r="AH5107" s="93"/>
      <c r="AI5107" s="93"/>
      <c r="AJ5107" s="93"/>
    </row>
    <row r="5108" spans="30:36" ht="18">
      <c r="AD5108" s="93"/>
      <c r="AE5108" s="215"/>
      <c r="AF5108" s="93"/>
      <c r="AG5108" s="93"/>
      <c r="AH5108" s="93"/>
      <c r="AI5108" s="93"/>
      <c r="AJ5108" s="93"/>
    </row>
    <row r="5109" spans="30:36" ht="18">
      <c r="AD5109" s="93"/>
      <c r="AE5109" s="214"/>
      <c r="AF5109" s="93"/>
      <c r="AG5109" s="93"/>
      <c r="AH5109" s="93"/>
      <c r="AI5109" s="93"/>
      <c r="AJ5109" s="93"/>
    </row>
    <row r="5110" spans="30:36" ht="18">
      <c r="AD5110" s="93"/>
      <c r="AE5110" s="214"/>
      <c r="AF5110" s="93"/>
      <c r="AG5110" s="93"/>
      <c r="AH5110" s="93"/>
      <c r="AI5110" s="93"/>
      <c r="AJ5110" s="93"/>
    </row>
    <row r="5111" spans="30:36" ht="18">
      <c r="AD5111" s="93"/>
      <c r="AE5111" s="214"/>
      <c r="AF5111" s="93"/>
      <c r="AG5111" s="93"/>
      <c r="AH5111" s="93"/>
      <c r="AI5111" s="93"/>
      <c r="AJ5111" s="93"/>
    </row>
    <row r="5112" spans="30:36" ht="18">
      <c r="AD5112" s="93"/>
      <c r="AE5112" s="214"/>
      <c r="AF5112" s="93"/>
      <c r="AG5112" s="93"/>
      <c r="AH5112" s="93"/>
      <c r="AI5112" s="93"/>
      <c r="AJ5112" s="93"/>
    </row>
    <row r="5113" spans="30:36" ht="18">
      <c r="AD5113" s="93"/>
      <c r="AE5113" s="214"/>
      <c r="AF5113" s="93"/>
      <c r="AG5113" s="93"/>
      <c r="AH5113" s="93"/>
      <c r="AI5113" s="93"/>
      <c r="AJ5113" s="93"/>
    </row>
    <row r="5114" spans="30:36" ht="18">
      <c r="AD5114" s="93"/>
      <c r="AE5114" s="215"/>
      <c r="AF5114" s="93"/>
      <c r="AG5114" s="93"/>
      <c r="AH5114" s="93"/>
      <c r="AI5114" s="93"/>
      <c r="AJ5114" s="93"/>
    </row>
    <row r="5115" spans="30:36" ht="18">
      <c r="AD5115" s="93"/>
      <c r="AE5115" s="215"/>
      <c r="AF5115" s="93"/>
      <c r="AG5115" s="93"/>
      <c r="AH5115" s="93"/>
      <c r="AI5115" s="93"/>
      <c r="AJ5115" s="93"/>
    </row>
    <row r="5116" spans="30:36" ht="18">
      <c r="AD5116" s="93"/>
      <c r="AE5116" s="214"/>
      <c r="AF5116" s="93"/>
      <c r="AG5116" s="93"/>
      <c r="AH5116" s="93"/>
      <c r="AI5116" s="93"/>
      <c r="AJ5116" s="93"/>
    </row>
    <row r="5117" spans="30:36" ht="18">
      <c r="AD5117" s="93"/>
      <c r="AE5117" s="214"/>
      <c r="AF5117" s="93"/>
      <c r="AG5117" s="93"/>
      <c r="AH5117" s="93"/>
      <c r="AI5117" s="93"/>
      <c r="AJ5117" s="93"/>
    </row>
    <row r="5118" spans="30:36" ht="18">
      <c r="AD5118" s="93"/>
      <c r="AE5118" s="214"/>
      <c r="AF5118" s="93"/>
      <c r="AG5118" s="93"/>
      <c r="AH5118" s="93"/>
      <c r="AI5118" s="93"/>
      <c r="AJ5118" s="93"/>
    </row>
    <row r="5119" spans="30:36" ht="18">
      <c r="AD5119" s="93"/>
      <c r="AE5119" s="214"/>
      <c r="AF5119" s="93"/>
      <c r="AG5119" s="93"/>
      <c r="AH5119" s="93"/>
      <c r="AI5119" s="93"/>
      <c r="AJ5119" s="93"/>
    </row>
    <row r="5120" spans="30:36" ht="18">
      <c r="AD5120" s="93"/>
      <c r="AE5120" s="214"/>
      <c r="AF5120" s="93"/>
      <c r="AG5120" s="93"/>
      <c r="AH5120" s="93"/>
      <c r="AI5120" s="93"/>
      <c r="AJ5120" s="93"/>
    </row>
    <row r="5121" spans="30:36" ht="18">
      <c r="AD5121" s="93"/>
      <c r="AE5121" s="214"/>
      <c r="AF5121" s="93"/>
      <c r="AG5121" s="93"/>
      <c r="AH5121" s="93"/>
      <c r="AI5121" s="93"/>
      <c r="AJ5121" s="93"/>
    </row>
    <row r="5122" spans="30:36" ht="18">
      <c r="AD5122" s="93"/>
      <c r="AE5122" s="214"/>
      <c r="AF5122" s="93"/>
      <c r="AG5122" s="93"/>
      <c r="AH5122" s="93"/>
      <c r="AI5122" s="93"/>
      <c r="AJ5122" s="93"/>
    </row>
    <row r="5123" spans="30:36" ht="18">
      <c r="AD5123" s="93"/>
      <c r="AE5123" s="214"/>
      <c r="AF5123" s="93"/>
      <c r="AG5123" s="93"/>
      <c r="AH5123" s="93"/>
      <c r="AI5123" s="93"/>
      <c r="AJ5123" s="93"/>
    </row>
    <row r="5124" spans="30:36" ht="18">
      <c r="AD5124" s="93"/>
      <c r="AE5124" s="214"/>
      <c r="AF5124" s="93"/>
      <c r="AG5124" s="93"/>
      <c r="AH5124" s="93"/>
      <c r="AI5124" s="93"/>
      <c r="AJ5124" s="93"/>
    </row>
    <row r="5125" spans="30:36" ht="18">
      <c r="AD5125" s="93"/>
      <c r="AE5125" s="215"/>
      <c r="AF5125" s="93"/>
      <c r="AG5125" s="93"/>
      <c r="AH5125" s="93"/>
      <c r="AI5125" s="93"/>
      <c r="AJ5125" s="93"/>
    </row>
    <row r="5126" spans="30:36" ht="18">
      <c r="AD5126" s="93"/>
      <c r="AE5126" s="215"/>
      <c r="AF5126" s="93"/>
      <c r="AG5126" s="93"/>
      <c r="AH5126" s="93"/>
      <c r="AI5126" s="93"/>
      <c r="AJ5126" s="93"/>
    </row>
    <row r="5127" spans="30:36" ht="18">
      <c r="AD5127" s="93"/>
      <c r="AE5127" s="214"/>
      <c r="AF5127" s="93"/>
      <c r="AG5127" s="93"/>
      <c r="AH5127" s="93"/>
      <c r="AI5127" s="93"/>
      <c r="AJ5127" s="93"/>
    </row>
    <row r="5128" spans="30:36" ht="18">
      <c r="AD5128" s="93"/>
      <c r="AE5128" s="214"/>
      <c r="AF5128" s="93"/>
      <c r="AG5128" s="93"/>
      <c r="AH5128" s="93"/>
      <c r="AI5128" s="93"/>
      <c r="AJ5128" s="93"/>
    </row>
    <row r="5129" spans="30:36" ht="18">
      <c r="AD5129" s="93"/>
      <c r="AE5129" s="214"/>
      <c r="AF5129" s="93"/>
      <c r="AG5129" s="93"/>
      <c r="AH5129" s="93"/>
      <c r="AI5129" s="93"/>
      <c r="AJ5129" s="93"/>
    </row>
    <row r="5130" spans="30:36" ht="18">
      <c r="AD5130" s="93"/>
      <c r="AE5130" s="214"/>
      <c r="AF5130" s="93"/>
      <c r="AG5130" s="93"/>
      <c r="AH5130" s="93"/>
      <c r="AI5130" s="93"/>
      <c r="AJ5130" s="93"/>
    </row>
    <row r="5131" spans="30:36" ht="18">
      <c r="AD5131" s="93"/>
      <c r="AE5131" s="214"/>
      <c r="AF5131" s="93"/>
      <c r="AG5131" s="93"/>
      <c r="AH5131" s="93"/>
      <c r="AI5131" s="93"/>
      <c r="AJ5131" s="93"/>
    </row>
    <row r="5132" spans="30:36" ht="18">
      <c r="AD5132" s="93"/>
      <c r="AE5132" s="214"/>
      <c r="AF5132" s="93"/>
      <c r="AG5132" s="93"/>
      <c r="AH5132" s="93"/>
      <c r="AI5132" s="93"/>
      <c r="AJ5132" s="93"/>
    </row>
    <row r="5133" spans="30:36" ht="18">
      <c r="AD5133" s="93"/>
      <c r="AE5133" s="214"/>
      <c r="AF5133" s="93"/>
      <c r="AG5133" s="93"/>
      <c r="AH5133" s="93"/>
      <c r="AI5133" s="93"/>
      <c r="AJ5133" s="93"/>
    </row>
    <row r="5134" spans="30:36" ht="18">
      <c r="AD5134" s="93"/>
      <c r="AE5134" s="214"/>
      <c r="AF5134" s="93"/>
      <c r="AG5134" s="93"/>
      <c r="AH5134" s="93"/>
      <c r="AI5134" s="93"/>
      <c r="AJ5134" s="93"/>
    </row>
    <row r="5135" spans="30:36" ht="18">
      <c r="AD5135" s="93"/>
      <c r="AE5135" s="214"/>
      <c r="AF5135" s="93"/>
      <c r="AG5135" s="93"/>
      <c r="AH5135" s="93"/>
      <c r="AI5135" s="93"/>
      <c r="AJ5135" s="93"/>
    </row>
    <row r="5136" spans="30:36" ht="18">
      <c r="AD5136" s="93"/>
      <c r="AE5136" s="214"/>
      <c r="AF5136" s="93"/>
      <c r="AG5136" s="93"/>
      <c r="AH5136" s="93"/>
      <c r="AI5136" s="93"/>
      <c r="AJ5136" s="93"/>
    </row>
    <row r="5137" spans="30:36" ht="18">
      <c r="AD5137" s="93"/>
      <c r="AE5137" s="214"/>
      <c r="AF5137" s="93"/>
      <c r="AG5137" s="93"/>
      <c r="AH5137" s="93"/>
      <c r="AI5137" s="93"/>
      <c r="AJ5137" s="93"/>
    </row>
    <row r="5138" spans="30:36" ht="18">
      <c r="AD5138" s="93"/>
      <c r="AE5138" s="214"/>
      <c r="AF5138" s="93"/>
      <c r="AG5138" s="93"/>
      <c r="AH5138" s="93"/>
      <c r="AI5138" s="93"/>
      <c r="AJ5138" s="93"/>
    </row>
    <row r="5139" spans="30:36" ht="18">
      <c r="AD5139" s="93"/>
      <c r="AE5139" s="214"/>
      <c r="AF5139" s="93"/>
      <c r="AG5139" s="93"/>
      <c r="AH5139" s="93"/>
      <c r="AI5139" s="93"/>
      <c r="AJ5139" s="93"/>
    </row>
    <row r="5140" spans="30:36" ht="18">
      <c r="AD5140" s="93"/>
      <c r="AE5140" s="214"/>
      <c r="AF5140" s="93"/>
      <c r="AG5140" s="93"/>
      <c r="AH5140" s="93"/>
      <c r="AI5140" s="93"/>
      <c r="AJ5140" s="93"/>
    </row>
    <row r="5141" spans="30:36" ht="18">
      <c r="AD5141" s="93"/>
      <c r="AE5141" s="214"/>
      <c r="AF5141" s="93"/>
      <c r="AG5141" s="93"/>
      <c r="AH5141" s="93"/>
      <c r="AI5141" s="93"/>
      <c r="AJ5141" s="93"/>
    </row>
    <row r="5142" spans="30:36" ht="18">
      <c r="AD5142" s="93"/>
      <c r="AE5142" s="214"/>
      <c r="AF5142" s="93"/>
      <c r="AG5142" s="93"/>
      <c r="AH5142" s="93"/>
      <c r="AI5142" s="93"/>
      <c r="AJ5142" s="93"/>
    </row>
    <row r="5143" spans="30:36" ht="18">
      <c r="AD5143" s="93"/>
      <c r="AE5143" s="214"/>
      <c r="AF5143" s="93"/>
      <c r="AG5143" s="93"/>
      <c r="AH5143" s="93"/>
      <c r="AI5143" s="93"/>
      <c r="AJ5143" s="93"/>
    </row>
    <row r="5144" spans="30:36" ht="18">
      <c r="AD5144" s="93"/>
      <c r="AE5144" s="214"/>
      <c r="AF5144" s="93"/>
      <c r="AG5144" s="93"/>
      <c r="AH5144" s="93"/>
      <c r="AI5144" s="93"/>
      <c r="AJ5144" s="93"/>
    </row>
    <row r="5145" spans="30:36" ht="18">
      <c r="AD5145" s="93"/>
      <c r="AE5145" s="214"/>
      <c r="AF5145" s="93"/>
      <c r="AG5145" s="93"/>
      <c r="AH5145" s="93"/>
      <c r="AI5145" s="93"/>
      <c r="AJ5145" s="93"/>
    </row>
    <row r="5146" spans="30:36" ht="18">
      <c r="AD5146" s="93"/>
      <c r="AE5146" s="214"/>
      <c r="AF5146" s="93"/>
      <c r="AG5146" s="93"/>
      <c r="AH5146" s="93"/>
      <c r="AI5146" s="93"/>
      <c r="AJ5146" s="93"/>
    </row>
    <row r="5147" spans="30:36" ht="18">
      <c r="AD5147" s="93"/>
      <c r="AE5147" s="214"/>
      <c r="AF5147" s="93"/>
      <c r="AG5147" s="93"/>
      <c r="AH5147" s="93"/>
      <c r="AI5147" s="93"/>
      <c r="AJ5147" s="93"/>
    </row>
    <row r="5148" spans="30:36" ht="18">
      <c r="AD5148" s="93"/>
      <c r="AE5148" s="214"/>
      <c r="AF5148" s="93"/>
      <c r="AG5148" s="93"/>
      <c r="AH5148" s="93"/>
      <c r="AI5148" s="93"/>
      <c r="AJ5148" s="93"/>
    </row>
    <row r="5149" spans="30:36" ht="18">
      <c r="AD5149" s="93"/>
      <c r="AE5149" s="214"/>
      <c r="AF5149" s="93"/>
      <c r="AG5149" s="93"/>
      <c r="AH5149" s="93"/>
      <c r="AI5149" s="93"/>
      <c r="AJ5149" s="93"/>
    </row>
    <row r="5150" spans="30:36" ht="18">
      <c r="AD5150" s="93"/>
      <c r="AE5150" s="214"/>
      <c r="AF5150" s="93"/>
      <c r="AG5150" s="93"/>
      <c r="AH5150" s="93"/>
      <c r="AI5150" s="93"/>
      <c r="AJ5150" s="93"/>
    </row>
    <row r="5151" spans="30:36" ht="18">
      <c r="AD5151" s="93"/>
      <c r="AE5151" s="214"/>
      <c r="AF5151" s="93"/>
      <c r="AG5151" s="93"/>
      <c r="AH5151" s="93"/>
      <c r="AI5151" s="93"/>
      <c r="AJ5151" s="93"/>
    </row>
    <row r="5152" spans="30:36" ht="18">
      <c r="AD5152" s="93"/>
      <c r="AE5152" s="214"/>
      <c r="AF5152" s="93"/>
      <c r="AG5152" s="93"/>
      <c r="AH5152" s="93"/>
      <c r="AI5152" s="93"/>
      <c r="AJ5152" s="93"/>
    </row>
    <row r="5153" spans="30:36" ht="18">
      <c r="AD5153" s="93"/>
      <c r="AE5153" s="214"/>
      <c r="AF5153" s="93"/>
      <c r="AG5153" s="93"/>
      <c r="AH5153" s="93"/>
      <c r="AI5153" s="93"/>
      <c r="AJ5153" s="93"/>
    </row>
    <row r="5154" spans="30:36" ht="18">
      <c r="AD5154" s="93"/>
      <c r="AE5154" s="214"/>
      <c r="AF5154" s="93"/>
      <c r="AG5154" s="93"/>
      <c r="AH5154" s="93"/>
      <c r="AI5154" s="93"/>
      <c r="AJ5154" s="93"/>
    </row>
    <row r="5155" spans="30:36" ht="18">
      <c r="AD5155" s="93"/>
      <c r="AE5155" s="214"/>
      <c r="AF5155" s="93"/>
      <c r="AG5155" s="93"/>
      <c r="AH5155" s="93"/>
      <c r="AI5155" s="93"/>
      <c r="AJ5155" s="93"/>
    </row>
    <row r="5156" spans="30:36" ht="18">
      <c r="AD5156" s="93"/>
      <c r="AE5156" s="214"/>
      <c r="AF5156" s="93"/>
      <c r="AG5156" s="93"/>
      <c r="AH5156" s="93"/>
      <c r="AI5156" s="93"/>
      <c r="AJ5156" s="93"/>
    </row>
    <row r="5157" spans="30:36" ht="18">
      <c r="AD5157" s="93"/>
      <c r="AE5157" s="214"/>
      <c r="AF5157" s="93"/>
      <c r="AG5157" s="93"/>
      <c r="AH5157" s="93"/>
      <c r="AI5157" s="93"/>
      <c r="AJ5157" s="93"/>
    </row>
    <row r="5158" spans="30:36" ht="18">
      <c r="AD5158" s="93"/>
      <c r="AE5158" s="214"/>
      <c r="AF5158" s="93"/>
      <c r="AG5158" s="93"/>
      <c r="AH5158" s="93"/>
      <c r="AI5158" s="93"/>
      <c r="AJ5158" s="93"/>
    </row>
    <row r="5159" spans="30:36" ht="18">
      <c r="AD5159" s="93"/>
      <c r="AE5159" s="214"/>
      <c r="AF5159" s="93"/>
      <c r="AG5159" s="93"/>
      <c r="AH5159" s="93"/>
      <c r="AI5159" s="93"/>
      <c r="AJ5159" s="93"/>
    </row>
    <row r="5160" spans="30:36" ht="18">
      <c r="AD5160" s="93"/>
      <c r="AE5160" s="214"/>
      <c r="AF5160" s="93"/>
      <c r="AG5160" s="93"/>
      <c r="AH5160" s="93"/>
      <c r="AI5160" s="93"/>
      <c r="AJ5160" s="93"/>
    </row>
    <row r="5161" spans="30:36" ht="18">
      <c r="AD5161" s="93"/>
      <c r="AE5161" s="214"/>
      <c r="AF5161" s="93"/>
      <c r="AG5161" s="93"/>
      <c r="AH5161" s="93"/>
      <c r="AI5161" s="93"/>
      <c r="AJ5161" s="93"/>
    </row>
    <row r="5162" spans="30:36" ht="18">
      <c r="AD5162" s="93"/>
      <c r="AE5162" s="214"/>
      <c r="AF5162" s="93"/>
      <c r="AG5162" s="93"/>
      <c r="AH5162" s="93"/>
      <c r="AI5162" s="93"/>
      <c r="AJ5162" s="93"/>
    </row>
    <row r="5163" spans="30:36" ht="18">
      <c r="AD5163" s="93"/>
      <c r="AE5163" s="214"/>
      <c r="AF5163" s="93"/>
      <c r="AG5163" s="93"/>
      <c r="AH5163" s="93"/>
      <c r="AI5163" s="93"/>
      <c r="AJ5163" s="93"/>
    </row>
    <row r="5164" spans="30:36" ht="18">
      <c r="AD5164" s="93"/>
      <c r="AE5164" s="214"/>
      <c r="AF5164" s="93"/>
      <c r="AG5164" s="93"/>
      <c r="AH5164" s="93"/>
      <c r="AI5164" s="93"/>
      <c r="AJ5164" s="93"/>
    </row>
    <row r="5165" spans="30:36" ht="18">
      <c r="AD5165" s="93"/>
      <c r="AE5165" s="214"/>
      <c r="AF5165" s="93"/>
      <c r="AG5165" s="93"/>
      <c r="AH5165" s="93"/>
      <c r="AI5165" s="93"/>
      <c r="AJ5165" s="93"/>
    </row>
    <row r="5166" spans="30:36" ht="18">
      <c r="AD5166" s="93"/>
      <c r="AE5166" s="214"/>
      <c r="AF5166" s="94"/>
      <c r="AG5166" s="93"/>
      <c r="AH5166" s="93"/>
      <c r="AI5166" s="93"/>
      <c r="AJ5166" s="93"/>
    </row>
    <row r="5167" spans="30:36" ht="18">
      <c r="AD5167" s="93"/>
      <c r="AE5167" s="214"/>
      <c r="AF5167" s="94"/>
      <c r="AG5167" s="93"/>
      <c r="AH5167" s="93"/>
      <c r="AI5167" s="93"/>
      <c r="AJ5167" s="93"/>
    </row>
    <row r="5168" spans="30:36" ht="18">
      <c r="AD5168" s="93"/>
      <c r="AE5168" s="214"/>
      <c r="AF5168" s="94"/>
      <c r="AG5168" s="93"/>
      <c r="AH5168" s="93"/>
      <c r="AI5168" s="93"/>
      <c r="AJ5168" s="93"/>
    </row>
    <row r="5169" spans="30:36" ht="18">
      <c r="AD5169" s="93"/>
      <c r="AE5169" s="214"/>
      <c r="AF5169" s="94"/>
      <c r="AG5169" s="93"/>
      <c r="AH5169" s="93"/>
      <c r="AI5169" s="93"/>
      <c r="AJ5169" s="93"/>
    </row>
    <row r="5170" spans="30:36" ht="18">
      <c r="AD5170" s="93"/>
      <c r="AE5170" s="214"/>
      <c r="AF5170" s="94"/>
      <c r="AG5170" s="93"/>
      <c r="AH5170" s="93"/>
      <c r="AI5170" s="93"/>
      <c r="AJ5170" s="93"/>
    </row>
    <row r="5171" spans="30:36" ht="18">
      <c r="AD5171" s="93"/>
      <c r="AE5171" s="214"/>
      <c r="AF5171" s="94"/>
      <c r="AG5171" s="93"/>
      <c r="AH5171" s="93"/>
      <c r="AI5171" s="93"/>
      <c r="AJ5171" s="93"/>
    </row>
    <row r="5172" spans="30:36" ht="18">
      <c r="AD5172" s="93"/>
      <c r="AE5172" s="214"/>
      <c r="AF5172" s="94"/>
      <c r="AG5172" s="93"/>
      <c r="AH5172" s="93"/>
      <c r="AI5172" s="93"/>
      <c r="AJ5172" s="93"/>
    </row>
    <row r="5173" spans="30:36" ht="18">
      <c r="AD5173" s="93"/>
      <c r="AE5173" s="214"/>
      <c r="AF5173" s="94"/>
      <c r="AG5173" s="93"/>
      <c r="AH5173" s="93"/>
      <c r="AI5173" s="93"/>
      <c r="AJ5173" s="93"/>
    </row>
    <row r="5174" spans="30:36" ht="18">
      <c r="AD5174" s="93"/>
      <c r="AE5174" s="214"/>
      <c r="AF5174" s="94"/>
      <c r="AG5174" s="93"/>
      <c r="AH5174" s="93"/>
      <c r="AI5174" s="93"/>
      <c r="AJ5174" s="93"/>
    </row>
    <row r="5175" spans="30:36" ht="18">
      <c r="AD5175" s="93"/>
      <c r="AE5175" s="214"/>
      <c r="AF5175" s="94"/>
      <c r="AG5175" s="93"/>
      <c r="AH5175" s="93"/>
      <c r="AI5175" s="93"/>
      <c r="AJ5175" s="93"/>
    </row>
    <row r="5176" spans="30:36" ht="18">
      <c r="AD5176" s="93"/>
      <c r="AE5176" s="214"/>
      <c r="AF5176" s="94"/>
      <c r="AG5176" s="93"/>
      <c r="AH5176" s="93"/>
      <c r="AI5176" s="93"/>
      <c r="AJ5176" s="93"/>
    </row>
    <row r="5177" spans="30:36" ht="18">
      <c r="AD5177" s="93"/>
      <c r="AE5177" s="214"/>
      <c r="AF5177" s="94"/>
      <c r="AG5177" s="93"/>
      <c r="AH5177" s="93"/>
      <c r="AI5177" s="93"/>
      <c r="AJ5177" s="93"/>
    </row>
    <row r="5178" spans="30:36" ht="18">
      <c r="AD5178" s="93"/>
      <c r="AE5178" s="215"/>
      <c r="AF5178" s="93"/>
      <c r="AG5178" s="93"/>
      <c r="AH5178" s="93"/>
      <c r="AI5178" s="93"/>
      <c r="AJ5178" s="93"/>
    </row>
    <row r="5179" spans="30:36" ht="18">
      <c r="AD5179" s="93"/>
      <c r="AE5179" s="214"/>
      <c r="AF5179" s="93"/>
      <c r="AG5179" s="93"/>
      <c r="AH5179" s="93"/>
      <c r="AI5179" s="93"/>
      <c r="AJ5179" s="93"/>
    </row>
    <row r="5180" spans="30:36" ht="18">
      <c r="AD5180" s="93"/>
      <c r="AE5180" s="214"/>
      <c r="AF5180" s="93"/>
      <c r="AG5180" s="93"/>
      <c r="AH5180" s="93"/>
      <c r="AI5180" s="93"/>
      <c r="AJ5180" s="93"/>
    </row>
    <row r="5181" spans="30:36" ht="18">
      <c r="AD5181" s="93"/>
      <c r="AE5181" s="214"/>
      <c r="AF5181" s="93"/>
      <c r="AG5181" s="93"/>
      <c r="AH5181" s="93"/>
      <c r="AI5181" s="93"/>
      <c r="AJ5181" s="93"/>
    </row>
    <row r="5182" spans="30:36" ht="18">
      <c r="AD5182" s="93"/>
      <c r="AE5182" s="214"/>
      <c r="AF5182" s="93"/>
      <c r="AG5182" s="93"/>
      <c r="AH5182" s="93"/>
      <c r="AI5182" s="93"/>
      <c r="AJ5182" s="93"/>
    </row>
    <row r="5183" spans="30:36" ht="18">
      <c r="AD5183" s="93"/>
      <c r="AE5183" s="214"/>
      <c r="AF5183" s="93"/>
      <c r="AG5183" s="93"/>
      <c r="AH5183" s="93"/>
      <c r="AI5183" s="93"/>
      <c r="AJ5183" s="93"/>
    </row>
    <row r="5184" spans="30:36" ht="18">
      <c r="AD5184" s="93"/>
      <c r="AE5184" s="214"/>
      <c r="AF5184" s="93"/>
      <c r="AG5184" s="93"/>
      <c r="AH5184" s="93"/>
      <c r="AI5184" s="93"/>
      <c r="AJ5184" s="93"/>
    </row>
    <row r="5185" spans="30:36" ht="18">
      <c r="AD5185" s="93"/>
      <c r="AE5185" s="214"/>
      <c r="AF5185" s="93"/>
      <c r="AG5185" s="93"/>
      <c r="AH5185" s="93"/>
      <c r="AI5185" s="93"/>
      <c r="AJ5185" s="93"/>
    </row>
    <row r="5186" spans="30:36" ht="18">
      <c r="AD5186" s="93"/>
      <c r="AE5186" s="214"/>
      <c r="AF5186" s="93"/>
      <c r="AG5186" s="93"/>
      <c r="AH5186" s="93"/>
      <c r="AI5186" s="93"/>
      <c r="AJ5186" s="93"/>
    </row>
    <row r="5187" spans="30:36" ht="18">
      <c r="AD5187" s="93"/>
      <c r="AE5187" s="214"/>
      <c r="AF5187" s="93"/>
      <c r="AG5187" s="93"/>
      <c r="AH5187" s="93"/>
      <c r="AI5187" s="93"/>
      <c r="AJ5187" s="93"/>
    </row>
    <row r="5188" spans="30:36" ht="18">
      <c r="AD5188" s="93"/>
      <c r="AE5188" s="214"/>
      <c r="AF5188" s="93"/>
      <c r="AG5188" s="93"/>
      <c r="AH5188" s="93"/>
      <c r="AI5188" s="93"/>
      <c r="AJ5188" s="93"/>
    </row>
    <row r="5189" spans="30:36" ht="18">
      <c r="AD5189" s="93"/>
      <c r="AE5189" s="214"/>
      <c r="AF5189" s="93"/>
      <c r="AG5189" s="93"/>
      <c r="AH5189" s="93"/>
      <c r="AI5189" s="93"/>
      <c r="AJ5189" s="93"/>
    </row>
    <row r="5190" spans="30:36" ht="18">
      <c r="AD5190" s="93"/>
      <c r="AE5190" s="214"/>
      <c r="AF5190" s="93"/>
      <c r="AG5190" s="93"/>
      <c r="AH5190" s="93"/>
      <c r="AI5190" s="93"/>
      <c r="AJ5190" s="93"/>
    </row>
    <row r="5191" spans="30:36" ht="18">
      <c r="AD5191" s="93"/>
      <c r="AE5191" s="214"/>
      <c r="AF5191" s="93"/>
      <c r="AG5191" s="93"/>
      <c r="AH5191" s="93"/>
      <c r="AI5191" s="93"/>
      <c r="AJ5191" s="93"/>
    </row>
    <row r="5192" spans="30:36" ht="18">
      <c r="AD5192" s="93"/>
      <c r="AE5192" s="214"/>
      <c r="AF5192" s="93"/>
      <c r="AG5192" s="93"/>
      <c r="AH5192" s="93"/>
      <c r="AI5192" s="93"/>
      <c r="AJ5192" s="93"/>
    </row>
    <row r="5193" spans="30:36" ht="18">
      <c r="AD5193" s="93"/>
      <c r="AE5193" s="214"/>
      <c r="AF5193" s="93"/>
      <c r="AG5193" s="93"/>
      <c r="AH5193" s="93"/>
      <c r="AI5193" s="93"/>
      <c r="AJ5193" s="93"/>
    </row>
    <row r="5194" spans="30:36" ht="18">
      <c r="AD5194" s="93"/>
      <c r="AE5194" s="214"/>
      <c r="AF5194" s="93"/>
      <c r="AG5194" s="93"/>
      <c r="AH5194" s="93"/>
      <c r="AI5194" s="93"/>
      <c r="AJ5194" s="93"/>
    </row>
    <row r="5195" spans="30:36" ht="18">
      <c r="AD5195" s="93"/>
      <c r="AE5195" s="214"/>
      <c r="AF5195" s="93"/>
      <c r="AG5195" s="93"/>
      <c r="AH5195" s="93"/>
      <c r="AI5195" s="93"/>
      <c r="AJ5195" s="93"/>
    </row>
    <row r="5196" spans="30:36" ht="18">
      <c r="AD5196" s="93"/>
      <c r="AE5196" s="214"/>
      <c r="AF5196" s="93"/>
      <c r="AG5196" s="93"/>
      <c r="AH5196" s="93"/>
      <c r="AI5196" s="93"/>
      <c r="AJ5196" s="93"/>
    </row>
    <row r="5197" spans="30:36" ht="18">
      <c r="AD5197" s="93"/>
      <c r="AE5197" s="215"/>
      <c r="AF5197" s="93"/>
      <c r="AG5197" s="93"/>
      <c r="AH5197" s="93"/>
      <c r="AI5197" s="93"/>
      <c r="AJ5197" s="93"/>
    </row>
    <row r="5198" spans="30:36" ht="18">
      <c r="AD5198" s="93"/>
      <c r="AE5198" s="215"/>
      <c r="AF5198" s="93"/>
      <c r="AG5198" s="93"/>
      <c r="AH5198" s="93"/>
      <c r="AI5198" s="93"/>
      <c r="AJ5198" s="93"/>
    </row>
    <row r="5199" spans="30:36" ht="18">
      <c r="AD5199" s="93"/>
      <c r="AE5199" s="214"/>
      <c r="AF5199" s="93"/>
      <c r="AG5199" s="93"/>
      <c r="AH5199" s="93"/>
      <c r="AI5199" s="93"/>
      <c r="AJ5199" s="93"/>
    </row>
    <row r="5200" spans="30:36" ht="18">
      <c r="AD5200" s="93"/>
      <c r="AE5200" s="214"/>
      <c r="AF5200" s="93"/>
      <c r="AG5200" s="93"/>
      <c r="AH5200" s="93"/>
      <c r="AI5200" s="93"/>
      <c r="AJ5200" s="93"/>
    </row>
    <row r="5201" spans="30:36" ht="18">
      <c r="AD5201" s="93"/>
      <c r="AE5201" s="214"/>
      <c r="AF5201" s="93"/>
      <c r="AG5201" s="93"/>
      <c r="AH5201" s="93"/>
      <c r="AI5201" s="93"/>
      <c r="AJ5201" s="93"/>
    </row>
    <row r="5202" spans="30:36" ht="18">
      <c r="AD5202" s="93"/>
      <c r="AE5202" s="215"/>
      <c r="AF5202" s="93"/>
      <c r="AG5202" s="93"/>
      <c r="AH5202" s="93"/>
      <c r="AI5202" s="93"/>
      <c r="AJ5202" s="93"/>
    </row>
    <row r="5203" spans="30:36" ht="18">
      <c r="AD5203" s="93"/>
      <c r="AE5203" s="215"/>
      <c r="AF5203" s="93"/>
      <c r="AG5203" s="93"/>
      <c r="AH5203" s="93"/>
      <c r="AI5203" s="93"/>
      <c r="AJ5203" s="93"/>
    </row>
    <row r="5204" spans="30:36" ht="18">
      <c r="AD5204" s="93"/>
      <c r="AE5204" s="214"/>
      <c r="AF5204" s="93"/>
      <c r="AG5204" s="93"/>
      <c r="AH5204" s="93"/>
      <c r="AI5204" s="93"/>
      <c r="AJ5204" s="93"/>
    </row>
    <row r="5205" spans="30:36" ht="18">
      <c r="AD5205" s="93"/>
      <c r="AE5205" s="214"/>
      <c r="AF5205" s="93"/>
      <c r="AG5205" s="93"/>
      <c r="AH5205" s="93"/>
      <c r="AI5205" s="93"/>
      <c r="AJ5205" s="93"/>
    </row>
    <row r="5206" spans="30:36" ht="18">
      <c r="AD5206" s="93"/>
      <c r="AE5206" s="214"/>
      <c r="AF5206" s="93"/>
      <c r="AG5206" s="93"/>
      <c r="AH5206" s="93"/>
      <c r="AI5206" s="93"/>
      <c r="AJ5206" s="93"/>
    </row>
    <row r="5207" spans="30:36" ht="18">
      <c r="AD5207" s="93"/>
      <c r="AE5207" s="214"/>
      <c r="AF5207" s="93"/>
      <c r="AG5207" s="93"/>
      <c r="AH5207" s="93"/>
      <c r="AI5207" s="93"/>
      <c r="AJ5207" s="93"/>
    </row>
    <row r="5208" spans="30:36" ht="18">
      <c r="AD5208" s="93"/>
      <c r="AE5208" s="214"/>
      <c r="AF5208" s="93"/>
      <c r="AG5208" s="93"/>
      <c r="AH5208" s="93"/>
      <c r="AI5208" s="93"/>
      <c r="AJ5208" s="93"/>
    </row>
    <row r="5209" spans="30:36" ht="18">
      <c r="AD5209" s="93"/>
      <c r="AE5209" s="215"/>
      <c r="AF5209" s="93"/>
      <c r="AG5209" s="93"/>
      <c r="AH5209" s="93"/>
      <c r="AI5209" s="93"/>
      <c r="AJ5209" s="93"/>
    </row>
    <row r="5210" spans="30:36" ht="18">
      <c r="AD5210" s="93"/>
      <c r="AE5210" s="214"/>
      <c r="AF5210" s="93"/>
      <c r="AG5210" s="93"/>
      <c r="AH5210" s="93"/>
      <c r="AI5210" s="93"/>
      <c r="AJ5210" s="93"/>
    </row>
    <row r="5211" spans="30:36" ht="18">
      <c r="AD5211" s="93"/>
      <c r="AE5211" s="214"/>
      <c r="AF5211" s="93"/>
      <c r="AG5211" s="93"/>
      <c r="AH5211" s="93"/>
      <c r="AI5211" s="93"/>
      <c r="AJ5211" s="93"/>
    </row>
    <row r="5212" spans="30:36" ht="18">
      <c r="AD5212" s="93"/>
      <c r="AE5212" s="214"/>
      <c r="AF5212" s="93"/>
      <c r="AG5212" s="93"/>
      <c r="AH5212" s="93"/>
      <c r="AI5212" s="93"/>
      <c r="AJ5212" s="93"/>
    </row>
    <row r="5213" spans="30:36" ht="18">
      <c r="AD5213" s="93"/>
      <c r="AE5213" s="214"/>
      <c r="AF5213" s="93"/>
      <c r="AG5213" s="93"/>
      <c r="AH5213" s="93"/>
      <c r="AI5213" s="93"/>
      <c r="AJ5213" s="93"/>
    </row>
    <row r="5214" spans="30:36" ht="18">
      <c r="AD5214" s="93"/>
      <c r="AE5214" s="214"/>
      <c r="AF5214" s="93"/>
      <c r="AG5214" s="93"/>
      <c r="AH5214" s="93"/>
      <c r="AI5214" s="93"/>
      <c r="AJ5214" s="93"/>
    </row>
    <row r="5215" spans="30:36" ht="18">
      <c r="AD5215" s="93"/>
      <c r="AE5215" s="214"/>
      <c r="AF5215" s="93"/>
      <c r="AG5215" s="93"/>
      <c r="AH5215" s="93"/>
      <c r="AI5215" s="93"/>
      <c r="AJ5215" s="93"/>
    </row>
    <row r="5216" spans="30:36" ht="18">
      <c r="AD5216" s="93"/>
      <c r="AE5216" s="214"/>
      <c r="AF5216" s="93"/>
      <c r="AG5216" s="93"/>
      <c r="AH5216" s="93"/>
      <c r="AI5216" s="93"/>
      <c r="AJ5216" s="93"/>
    </row>
    <row r="5217" spans="30:36" ht="18">
      <c r="AD5217" s="93"/>
      <c r="AE5217" s="214"/>
      <c r="AF5217" s="93"/>
      <c r="AG5217" s="93"/>
      <c r="AH5217" s="93"/>
      <c r="AI5217" s="93"/>
      <c r="AJ5217" s="93"/>
    </row>
    <row r="5218" spans="30:36" ht="18">
      <c r="AD5218" s="93"/>
      <c r="AE5218" s="214"/>
      <c r="AF5218" s="93"/>
      <c r="AG5218" s="93"/>
      <c r="AH5218" s="93"/>
      <c r="AI5218" s="93"/>
      <c r="AJ5218" s="93"/>
    </row>
    <row r="5219" spans="30:36" ht="18">
      <c r="AD5219" s="93"/>
      <c r="AE5219" s="214"/>
      <c r="AF5219" s="93"/>
      <c r="AG5219" s="93"/>
      <c r="AH5219" s="93"/>
      <c r="AI5219" s="93"/>
      <c r="AJ5219" s="93"/>
    </row>
    <row r="5220" spans="30:36" ht="18">
      <c r="AD5220" s="93"/>
      <c r="AE5220" s="214"/>
      <c r="AF5220" s="93"/>
      <c r="AG5220" s="93"/>
      <c r="AH5220" s="93"/>
      <c r="AI5220" s="93"/>
      <c r="AJ5220" s="93"/>
    </row>
    <row r="5221" spans="30:36" ht="18">
      <c r="AD5221" s="93"/>
      <c r="AE5221" s="214"/>
      <c r="AF5221" s="93"/>
      <c r="AG5221" s="93"/>
      <c r="AH5221" s="93"/>
      <c r="AI5221" s="93"/>
      <c r="AJ5221" s="93"/>
    </row>
    <row r="5222" spans="30:36" ht="18">
      <c r="AD5222" s="93"/>
      <c r="AE5222" s="214"/>
      <c r="AF5222" s="93"/>
      <c r="AG5222" s="93"/>
      <c r="AH5222" s="93"/>
      <c r="AI5222" s="93"/>
      <c r="AJ5222" s="93"/>
    </row>
    <row r="5223" spans="30:36" ht="18">
      <c r="AD5223" s="93"/>
      <c r="AE5223" s="215"/>
      <c r="AF5223" s="93"/>
      <c r="AG5223" s="93"/>
      <c r="AH5223" s="93"/>
      <c r="AI5223" s="93"/>
      <c r="AJ5223" s="93"/>
    </row>
    <row r="5224" spans="30:36" ht="18">
      <c r="AD5224" s="93"/>
      <c r="AE5224" s="214"/>
      <c r="AF5224" s="93"/>
      <c r="AG5224" s="93"/>
      <c r="AH5224" s="93"/>
      <c r="AI5224" s="93"/>
      <c r="AJ5224" s="93"/>
    </row>
    <row r="5225" spans="30:36" ht="18">
      <c r="AD5225" s="93"/>
      <c r="AE5225" s="214"/>
      <c r="AF5225" s="93"/>
      <c r="AG5225" s="93"/>
      <c r="AH5225" s="93"/>
      <c r="AI5225" s="93"/>
      <c r="AJ5225" s="93"/>
    </row>
    <row r="5226" spans="30:36" ht="18">
      <c r="AD5226" s="93"/>
      <c r="AE5226" s="214"/>
      <c r="AF5226" s="93"/>
      <c r="AG5226" s="93"/>
      <c r="AH5226" s="93"/>
      <c r="AI5226" s="93"/>
      <c r="AJ5226" s="93"/>
    </row>
    <row r="5227" spans="30:36" ht="18">
      <c r="AD5227" s="93"/>
      <c r="AE5227" s="214"/>
      <c r="AF5227" s="93"/>
      <c r="AG5227" s="93"/>
      <c r="AH5227" s="93"/>
      <c r="AI5227" s="93"/>
      <c r="AJ5227" s="93"/>
    </row>
    <row r="5228" spans="30:36" ht="18">
      <c r="AD5228" s="93"/>
      <c r="AE5228" s="214"/>
      <c r="AF5228" s="93"/>
      <c r="AG5228" s="93"/>
      <c r="AH5228" s="93"/>
      <c r="AI5228" s="93"/>
      <c r="AJ5228" s="93"/>
    </row>
    <row r="5229" spans="30:36" ht="18">
      <c r="AD5229" s="93"/>
      <c r="AE5229" s="214"/>
      <c r="AF5229" s="93"/>
      <c r="AG5229" s="93"/>
      <c r="AH5229" s="93"/>
      <c r="AI5229" s="93"/>
      <c r="AJ5229" s="93"/>
    </row>
    <row r="5230" spans="30:36" ht="18">
      <c r="AD5230" s="93"/>
      <c r="AE5230" s="214"/>
      <c r="AF5230" s="93"/>
      <c r="AG5230" s="93"/>
      <c r="AH5230" s="93"/>
      <c r="AI5230" s="93"/>
      <c r="AJ5230" s="93"/>
    </row>
    <row r="5231" spans="30:36" ht="18">
      <c r="AD5231" s="93"/>
      <c r="AE5231" s="214"/>
      <c r="AF5231" s="93"/>
      <c r="AG5231" s="93"/>
      <c r="AH5231" s="93"/>
      <c r="AI5231" s="93"/>
      <c r="AJ5231" s="93"/>
    </row>
    <row r="5232" spans="30:36" ht="18">
      <c r="AD5232" s="93"/>
      <c r="AE5232" s="214"/>
      <c r="AF5232" s="93"/>
      <c r="AG5232" s="93"/>
      <c r="AH5232" s="93"/>
      <c r="AI5232" s="93"/>
      <c r="AJ5232" s="93"/>
    </row>
    <row r="5233" spans="30:36" ht="18">
      <c r="AD5233" s="93"/>
      <c r="AE5233" s="214"/>
      <c r="AF5233" s="93"/>
      <c r="AG5233" s="93"/>
      <c r="AH5233" s="93"/>
      <c r="AI5233" s="93"/>
      <c r="AJ5233" s="93"/>
    </row>
    <row r="5234" spans="30:36" ht="18">
      <c r="AD5234" s="93"/>
      <c r="AE5234" s="214"/>
      <c r="AF5234" s="93"/>
      <c r="AG5234" s="93"/>
      <c r="AH5234" s="93"/>
      <c r="AI5234" s="93"/>
      <c r="AJ5234" s="93"/>
    </row>
    <row r="5235" spans="30:36" ht="18">
      <c r="AD5235" s="93"/>
      <c r="AE5235" s="214"/>
      <c r="AF5235" s="93"/>
      <c r="AG5235" s="93"/>
      <c r="AH5235" s="93"/>
      <c r="AI5235" s="93"/>
      <c r="AJ5235" s="93"/>
    </row>
    <row r="5236" spans="30:36" ht="18">
      <c r="AD5236" s="93"/>
      <c r="AE5236" s="214"/>
      <c r="AF5236" s="93"/>
      <c r="AG5236" s="93"/>
      <c r="AH5236" s="93"/>
      <c r="AI5236" s="93"/>
      <c r="AJ5236" s="93"/>
    </row>
    <row r="5237" spans="30:36" ht="18">
      <c r="AD5237" s="93"/>
      <c r="AE5237" s="215"/>
      <c r="AF5237" s="93"/>
      <c r="AG5237" s="93"/>
      <c r="AH5237" s="93"/>
      <c r="AI5237" s="93"/>
      <c r="AJ5237" s="93"/>
    </row>
    <row r="5238" spans="30:36" ht="18">
      <c r="AD5238" s="93"/>
      <c r="AE5238" s="214"/>
      <c r="AF5238" s="93"/>
      <c r="AG5238" s="93"/>
      <c r="AH5238" s="93"/>
      <c r="AI5238" s="93"/>
      <c r="AJ5238" s="93"/>
    </row>
    <row r="5239" spans="30:36" ht="18">
      <c r="AD5239" s="93"/>
      <c r="AE5239" s="214"/>
      <c r="AF5239" s="93"/>
      <c r="AG5239" s="93"/>
      <c r="AH5239" s="93"/>
      <c r="AI5239" s="93"/>
      <c r="AJ5239" s="93"/>
    </row>
    <row r="5240" spans="30:36" ht="18">
      <c r="AD5240" s="93"/>
      <c r="AE5240" s="214"/>
      <c r="AF5240" s="93"/>
      <c r="AG5240" s="93"/>
      <c r="AH5240" s="93"/>
      <c r="AI5240" s="93"/>
      <c r="AJ5240" s="93"/>
    </row>
    <row r="5241" spans="30:36" ht="18">
      <c r="AD5241" s="93"/>
      <c r="AE5241" s="214"/>
      <c r="AF5241" s="93"/>
      <c r="AG5241" s="93"/>
      <c r="AH5241" s="93"/>
      <c r="AI5241" s="93"/>
      <c r="AJ5241" s="93"/>
    </row>
    <row r="5242" spans="30:36" ht="18">
      <c r="AD5242" s="93"/>
      <c r="AE5242" s="214"/>
      <c r="AF5242" s="93"/>
      <c r="AG5242" s="93"/>
      <c r="AH5242" s="93"/>
      <c r="AI5242" s="93"/>
      <c r="AJ5242" s="93"/>
    </row>
    <row r="5243" spans="30:36" ht="18">
      <c r="AD5243" s="93"/>
      <c r="AE5243" s="214"/>
      <c r="AF5243" s="93"/>
      <c r="AG5243" s="93"/>
      <c r="AH5243" s="93"/>
      <c r="AI5243" s="93"/>
      <c r="AJ5243" s="93"/>
    </row>
    <row r="5244" spans="30:36" ht="18">
      <c r="AD5244" s="93"/>
      <c r="AE5244" s="214"/>
      <c r="AF5244" s="93"/>
      <c r="AG5244" s="93"/>
      <c r="AH5244" s="93"/>
      <c r="AI5244" s="93"/>
      <c r="AJ5244" s="93"/>
    </row>
    <row r="5245" spans="30:36" ht="18">
      <c r="AD5245" s="93"/>
      <c r="AE5245" s="214"/>
      <c r="AF5245" s="93"/>
      <c r="AG5245" s="93"/>
      <c r="AH5245" s="93"/>
      <c r="AI5245" s="93"/>
      <c r="AJ5245" s="93"/>
    </row>
    <row r="5246" spans="30:36" ht="18">
      <c r="AD5246" s="93"/>
      <c r="AE5246" s="214"/>
      <c r="AF5246" s="93"/>
      <c r="AG5246" s="93"/>
      <c r="AH5246" s="93"/>
      <c r="AI5246" s="93"/>
      <c r="AJ5246" s="93"/>
    </row>
    <row r="5247" spans="30:36" ht="18">
      <c r="AD5247" s="93"/>
      <c r="AE5247" s="215"/>
      <c r="AF5247" s="93"/>
      <c r="AG5247" s="93"/>
      <c r="AH5247" s="93"/>
      <c r="AI5247" s="93"/>
      <c r="AJ5247" s="93"/>
    </row>
    <row r="5248" spans="30:36" ht="18">
      <c r="AD5248" s="93"/>
      <c r="AE5248" s="214"/>
      <c r="AF5248" s="93"/>
      <c r="AG5248" s="93"/>
      <c r="AH5248" s="93"/>
      <c r="AI5248" s="93"/>
      <c r="AJ5248" s="93"/>
    </row>
    <row r="5249" spans="30:36" ht="18">
      <c r="AD5249" s="93"/>
      <c r="AE5249" s="214"/>
      <c r="AF5249" s="93"/>
      <c r="AG5249" s="93"/>
      <c r="AH5249" s="93"/>
      <c r="AI5249" s="93"/>
      <c r="AJ5249" s="93"/>
    </row>
    <row r="5250" spans="30:36" ht="18">
      <c r="AD5250" s="93"/>
      <c r="AE5250" s="214"/>
      <c r="AF5250" s="93"/>
      <c r="AG5250" s="93"/>
      <c r="AH5250" s="93"/>
      <c r="AI5250" s="93"/>
      <c r="AJ5250" s="93"/>
    </row>
    <row r="5251" spans="30:36" ht="18">
      <c r="AD5251" s="93"/>
      <c r="AE5251" s="214"/>
      <c r="AF5251" s="93"/>
      <c r="AG5251" s="93"/>
      <c r="AH5251" s="93"/>
      <c r="AI5251" s="93"/>
      <c r="AJ5251" s="93"/>
    </row>
    <row r="5252" spans="30:36" ht="18">
      <c r="AD5252" s="93"/>
      <c r="AE5252" s="214"/>
      <c r="AF5252" s="93"/>
      <c r="AG5252" s="93"/>
      <c r="AH5252" s="93"/>
      <c r="AI5252" s="93"/>
      <c r="AJ5252" s="93"/>
    </row>
    <row r="5253" spans="30:36" ht="18">
      <c r="AD5253" s="93"/>
      <c r="AE5253" s="214"/>
      <c r="AF5253" s="93"/>
      <c r="AG5253" s="93"/>
      <c r="AH5253" s="93"/>
      <c r="AI5253" s="93"/>
      <c r="AJ5253" s="93"/>
    </row>
    <row r="5254" spans="30:36" ht="18">
      <c r="AD5254" s="93"/>
      <c r="AE5254" s="214"/>
      <c r="AF5254" s="93"/>
      <c r="AG5254" s="93"/>
      <c r="AH5254" s="93"/>
      <c r="AI5254" s="93"/>
      <c r="AJ5254" s="93"/>
    </row>
    <row r="5255" spans="30:36" ht="18">
      <c r="AD5255" s="93"/>
      <c r="AE5255" s="214"/>
      <c r="AF5255" s="93"/>
      <c r="AG5255" s="93"/>
      <c r="AH5255" s="93"/>
      <c r="AI5255" s="93"/>
      <c r="AJ5255" s="93"/>
    </row>
    <row r="5256" spans="30:36" ht="18">
      <c r="AD5256" s="93"/>
      <c r="AE5256" s="214"/>
      <c r="AF5256" s="93"/>
      <c r="AG5256" s="93"/>
      <c r="AH5256" s="93"/>
      <c r="AI5256" s="93"/>
      <c r="AJ5256" s="93"/>
    </row>
    <row r="5257" spans="30:36" ht="18">
      <c r="AD5257" s="93"/>
      <c r="AE5257" s="214"/>
      <c r="AF5257" s="93"/>
      <c r="AG5257" s="93"/>
      <c r="AH5257" s="93"/>
      <c r="AI5257" s="93"/>
      <c r="AJ5257" s="93"/>
    </row>
    <row r="5258" spans="30:36" ht="18">
      <c r="AD5258" s="93"/>
      <c r="AE5258" s="214"/>
      <c r="AF5258" s="93"/>
      <c r="AG5258" s="93"/>
      <c r="AH5258" s="93"/>
      <c r="AI5258" s="93"/>
      <c r="AJ5258" s="93"/>
    </row>
    <row r="5259" spans="30:36" ht="18">
      <c r="AD5259" s="93"/>
      <c r="AE5259" s="214"/>
      <c r="AF5259" s="93"/>
      <c r="AG5259" s="93"/>
      <c r="AH5259" s="93"/>
      <c r="AI5259" s="93"/>
      <c r="AJ5259" s="93"/>
    </row>
    <row r="5260" spans="30:36" ht="18">
      <c r="AD5260" s="93"/>
      <c r="AE5260" s="214"/>
      <c r="AF5260" s="93"/>
      <c r="AG5260" s="93"/>
      <c r="AH5260" s="93"/>
      <c r="AI5260" s="93"/>
      <c r="AJ5260" s="93"/>
    </row>
    <row r="5261" spans="30:36" ht="18">
      <c r="AD5261" s="93"/>
      <c r="AE5261" s="214"/>
      <c r="AF5261" s="93"/>
      <c r="AG5261" s="93"/>
      <c r="AH5261" s="93"/>
      <c r="AI5261" s="93"/>
      <c r="AJ5261" s="93"/>
    </row>
    <row r="5262" spans="30:36" ht="18">
      <c r="AD5262" s="93"/>
      <c r="AE5262" s="214"/>
      <c r="AF5262" s="93"/>
      <c r="AG5262" s="93"/>
      <c r="AH5262" s="93"/>
      <c r="AI5262" s="93"/>
      <c r="AJ5262" s="93"/>
    </row>
    <row r="5263" spans="30:36" ht="18">
      <c r="AD5263" s="93"/>
      <c r="AE5263" s="214"/>
      <c r="AF5263" s="93"/>
      <c r="AG5263" s="93"/>
      <c r="AH5263" s="93"/>
      <c r="AI5263" s="93"/>
      <c r="AJ5263" s="93"/>
    </row>
    <row r="5264" spans="30:36" ht="18">
      <c r="AD5264" s="93"/>
      <c r="AE5264" s="214"/>
      <c r="AF5264" s="93"/>
      <c r="AG5264" s="93"/>
      <c r="AH5264" s="93"/>
      <c r="AI5264" s="93"/>
      <c r="AJ5264" s="93"/>
    </row>
    <row r="5265" spans="30:36" ht="18">
      <c r="AD5265" s="93"/>
      <c r="AE5265" s="214"/>
      <c r="AF5265" s="93"/>
      <c r="AG5265" s="93"/>
      <c r="AH5265" s="93"/>
      <c r="AI5265" s="93"/>
      <c r="AJ5265" s="93"/>
    </row>
    <row r="5266" spans="30:36" ht="18">
      <c r="AD5266" s="93"/>
      <c r="AE5266" s="214"/>
      <c r="AF5266" s="93"/>
      <c r="AG5266" s="93"/>
      <c r="AH5266" s="93"/>
      <c r="AI5266" s="93"/>
      <c r="AJ5266" s="93"/>
    </row>
    <row r="5267" spans="30:36" ht="18">
      <c r="AD5267" s="93"/>
      <c r="AE5267" s="214"/>
      <c r="AF5267" s="93"/>
      <c r="AG5267" s="93"/>
      <c r="AH5267" s="93"/>
      <c r="AI5267" s="93"/>
      <c r="AJ5267" s="93"/>
    </row>
    <row r="5268" spans="30:36" ht="18">
      <c r="AD5268" s="93"/>
      <c r="AE5268" s="214"/>
      <c r="AF5268" s="93"/>
      <c r="AG5268" s="93"/>
      <c r="AH5268" s="93"/>
      <c r="AI5268" s="93"/>
      <c r="AJ5268" s="93"/>
    </row>
    <row r="5269" spans="30:36" ht="18">
      <c r="AD5269" s="93"/>
      <c r="AE5269" s="214"/>
      <c r="AF5269" s="93"/>
      <c r="AG5269" s="93"/>
      <c r="AH5269" s="93"/>
      <c r="AI5269" s="93"/>
      <c r="AJ5269" s="93"/>
    </row>
    <row r="5270" spans="30:36" ht="18">
      <c r="AD5270" s="93"/>
      <c r="AE5270" s="214"/>
      <c r="AF5270" s="93"/>
      <c r="AG5270" s="93"/>
      <c r="AH5270" s="93"/>
      <c r="AI5270" s="93"/>
      <c r="AJ5270" s="93"/>
    </row>
    <row r="5271" spans="30:36" ht="18">
      <c r="AD5271" s="93"/>
      <c r="AE5271" s="214"/>
      <c r="AF5271" s="93"/>
      <c r="AG5271" s="93"/>
      <c r="AH5271" s="93"/>
      <c r="AI5271" s="93"/>
      <c r="AJ5271" s="93"/>
    </row>
    <row r="5272" spans="30:36" ht="18">
      <c r="AD5272" s="93"/>
      <c r="AE5272" s="214"/>
      <c r="AF5272" s="93"/>
      <c r="AG5272" s="93"/>
      <c r="AH5272" s="93"/>
      <c r="AI5272" s="93"/>
      <c r="AJ5272" s="93"/>
    </row>
    <row r="5273" spans="30:36" ht="18">
      <c r="AD5273" s="93"/>
      <c r="AE5273" s="214"/>
      <c r="AF5273" s="93"/>
      <c r="AG5273" s="93"/>
      <c r="AH5273" s="93"/>
      <c r="AI5273" s="93"/>
      <c r="AJ5273" s="93"/>
    </row>
    <row r="5274" spans="30:36" ht="18">
      <c r="AD5274" s="93"/>
      <c r="AE5274" s="214"/>
      <c r="AF5274" s="93"/>
      <c r="AG5274" s="93"/>
      <c r="AH5274" s="93"/>
      <c r="AI5274" s="93"/>
      <c r="AJ5274" s="93"/>
    </row>
    <row r="5275" spans="30:36" ht="18">
      <c r="AD5275" s="93"/>
      <c r="AE5275" s="214"/>
      <c r="AF5275" s="93"/>
      <c r="AG5275" s="93"/>
      <c r="AH5275" s="93"/>
      <c r="AI5275" s="93"/>
      <c r="AJ5275" s="93"/>
    </row>
    <row r="5276" spans="30:36" ht="18">
      <c r="AD5276" s="93"/>
      <c r="AE5276" s="214"/>
      <c r="AF5276" s="93"/>
      <c r="AG5276" s="93"/>
      <c r="AH5276" s="93"/>
      <c r="AI5276" s="93"/>
      <c r="AJ5276" s="93"/>
    </row>
    <row r="5277" spans="30:36" ht="18">
      <c r="AD5277" s="93"/>
      <c r="AE5277" s="214"/>
      <c r="AF5277" s="93"/>
      <c r="AG5277" s="93"/>
      <c r="AH5277" s="93"/>
      <c r="AI5277" s="93"/>
      <c r="AJ5277" s="93"/>
    </row>
    <row r="5278" spans="30:36" ht="18">
      <c r="AD5278" s="93"/>
      <c r="AE5278" s="214"/>
      <c r="AF5278" s="93"/>
      <c r="AG5278" s="93"/>
      <c r="AH5278" s="93"/>
      <c r="AI5278" s="93"/>
      <c r="AJ5278" s="93"/>
    </row>
    <row r="5279" spans="30:36" ht="18">
      <c r="AD5279" s="93"/>
      <c r="AE5279" s="214"/>
      <c r="AF5279" s="93"/>
      <c r="AG5279" s="93"/>
      <c r="AH5279" s="93"/>
      <c r="AI5279" s="93"/>
      <c r="AJ5279" s="93"/>
    </row>
    <row r="5280" spans="30:36" ht="18">
      <c r="AD5280" s="93"/>
      <c r="AE5280" s="214"/>
      <c r="AF5280" s="93"/>
      <c r="AG5280" s="93"/>
      <c r="AH5280" s="93"/>
      <c r="AI5280" s="93"/>
      <c r="AJ5280" s="93"/>
    </row>
    <row r="5281" spans="30:36" ht="18">
      <c r="AD5281" s="93"/>
      <c r="AE5281" s="214"/>
      <c r="AF5281" s="93"/>
      <c r="AG5281" s="93"/>
      <c r="AH5281" s="93"/>
      <c r="AI5281" s="93"/>
      <c r="AJ5281" s="93"/>
    </row>
    <row r="5282" spans="30:36" ht="18">
      <c r="AD5282" s="93"/>
      <c r="AE5282" s="214"/>
      <c r="AF5282" s="93"/>
      <c r="AG5282" s="93"/>
      <c r="AH5282" s="93"/>
      <c r="AI5282" s="93"/>
      <c r="AJ5282" s="93"/>
    </row>
    <row r="5283" spans="30:36" ht="18">
      <c r="AD5283" s="93"/>
      <c r="AE5283" s="214"/>
      <c r="AF5283" s="93"/>
      <c r="AG5283" s="93"/>
      <c r="AH5283" s="93"/>
      <c r="AI5283" s="93"/>
      <c r="AJ5283" s="93"/>
    </row>
    <row r="5284" spans="30:36" ht="18">
      <c r="AD5284" s="93"/>
      <c r="AE5284" s="214"/>
      <c r="AF5284" s="93"/>
      <c r="AG5284" s="93"/>
      <c r="AH5284" s="93"/>
      <c r="AI5284" s="93"/>
      <c r="AJ5284" s="93"/>
    </row>
    <row r="5285" spans="30:36" ht="18">
      <c r="AD5285" s="93"/>
      <c r="AE5285" s="214"/>
      <c r="AF5285" s="93"/>
      <c r="AG5285" s="93"/>
      <c r="AH5285" s="93"/>
      <c r="AI5285" s="93"/>
      <c r="AJ5285" s="93"/>
    </row>
    <row r="5286" spans="30:36" ht="18">
      <c r="AD5286" s="93"/>
      <c r="AE5286" s="214"/>
      <c r="AF5286" s="93"/>
      <c r="AG5286" s="93"/>
      <c r="AH5286" s="93"/>
      <c r="AI5286" s="93"/>
      <c r="AJ5286" s="93"/>
    </row>
    <row r="5287" spans="30:36" ht="18">
      <c r="AD5287" s="93"/>
      <c r="AE5287" s="214"/>
      <c r="AF5287" s="93"/>
      <c r="AG5287" s="93"/>
      <c r="AH5287" s="93"/>
      <c r="AI5287" s="93"/>
      <c r="AJ5287" s="93"/>
    </row>
    <row r="5288" spans="30:36" ht="18">
      <c r="AD5288" s="93"/>
      <c r="AE5288" s="214"/>
      <c r="AF5288" s="93"/>
      <c r="AG5288" s="93"/>
      <c r="AH5288" s="93"/>
      <c r="AI5288" s="93"/>
      <c r="AJ5288" s="93"/>
    </row>
    <row r="5289" spans="30:36" ht="18">
      <c r="AD5289" s="93"/>
      <c r="AE5289" s="214"/>
      <c r="AF5289" s="93"/>
      <c r="AG5289" s="93"/>
      <c r="AH5289" s="93"/>
      <c r="AI5289" s="93"/>
      <c r="AJ5289" s="93"/>
    </row>
    <row r="5290" spans="30:36" ht="18">
      <c r="AD5290" s="93"/>
      <c r="AE5290" s="214"/>
      <c r="AF5290" s="93"/>
      <c r="AG5290" s="93"/>
      <c r="AH5290" s="93"/>
      <c r="AI5290" s="93"/>
      <c r="AJ5290" s="93"/>
    </row>
    <row r="5291" spans="30:36" ht="18">
      <c r="AD5291" s="93"/>
      <c r="AE5291" s="214"/>
      <c r="AF5291" s="93"/>
      <c r="AG5291" s="93"/>
      <c r="AH5291" s="93"/>
      <c r="AI5291" s="93"/>
      <c r="AJ5291" s="93"/>
    </row>
    <row r="5292" spans="30:36" ht="18">
      <c r="AD5292" s="93"/>
      <c r="AE5292" s="214"/>
      <c r="AF5292" s="93"/>
      <c r="AG5292" s="93"/>
      <c r="AH5292" s="93"/>
      <c r="AI5292" s="93"/>
      <c r="AJ5292" s="93"/>
    </row>
    <row r="5293" spans="30:36" ht="18">
      <c r="AD5293" s="93"/>
      <c r="AE5293" s="215"/>
      <c r="AF5293" s="93"/>
      <c r="AG5293" s="93"/>
      <c r="AH5293" s="93"/>
      <c r="AI5293" s="93"/>
      <c r="AJ5293" s="93"/>
    </row>
    <row r="5294" spans="30:36" ht="18">
      <c r="AD5294" s="93"/>
      <c r="AE5294" s="215"/>
      <c r="AF5294" s="93"/>
      <c r="AG5294" s="93"/>
      <c r="AH5294" s="93"/>
      <c r="AI5294" s="93"/>
      <c r="AJ5294" s="93"/>
    </row>
    <row r="5295" spans="30:36" ht="18">
      <c r="AD5295" s="93"/>
      <c r="AE5295" s="214"/>
      <c r="AF5295" s="93"/>
      <c r="AG5295" s="93"/>
      <c r="AH5295" s="93"/>
      <c r="AI5295" s="93"/>
      <c r="AJ5295" s="93"/>
    </row>
    <row r="5296" spans="30:36" ht="18">
      <c r="AD5296" s="93"/>
      <c r="AE5296" s="214"/>
      <c r="AF5296" s="93"/>
      <c r="AG5296" s="93"/>
      <c r="AH5296" s="93"/>
      <c r="AI5296" s="93"/>
      <c r="AJ5296" s="93"/>
    </row>
    <row r="5297" spans="30:36" ht="18">
      <c r="AD5297" s="93"/>
      <c r="AE5297" s="214"/>
      <c r="AF5297" s="93"/>
      <c r="AG5297" s="93"/>
      <c r="AH5297" s="93"/>
      <c r="AI5297" s="93"/>
      <c r="AJ5297" s="93"/>
    </row>
    <row r="5298" spans="30:36" ht="18">
      <c r="AD5298" s="93"/>
      <c r="AE5298" s="214"/>
      <c r="AF5298" s="93"/>
      <c r="AG5298" s="93"/>
      <c r="AH5298" s="93"/>
      <c r="AI5298" s="93"/>
      <c r="AJ5298" s="93"/>
    </row>
    <row r="5299" spans="30:36" ht="18">
      <c r="AD5299" s="93"/>
      <c r="AE5299" s="214"/>
      <c r="AF5299" s="93"/>
      <c r="AG5299" s="93"/>
      <c r="AH5299" s="93"/>
      <c r="AI5299" s="93"/>
      <c r="AJ5299" s="93"/>
    </row>
    <row r="5300" spans="30:36" ht="18">
      <c r="AD5300" s="93"/>
      <c r="AE5300" s="214"/>
      <c r="AF5300" s="93"/>
      <c r="AG5300" s="93"/>
      <c r="AH5300" s="93"/>
      <c r="AI5300" s="93"/>
      <c r="AJ5300" s="93"/>
    </row>
    <row r="5301" spans="30:36" ht="18">
      <c r="AD5301" s="93"/>
      <c r="AE5301" s="214"/>
      <c r="AF5301" s="93"/>
      <c r="AG5301" s="93"/>
      <c r="AH5301" s="93"/>
      <c r="AI5301" s="93"/>
      <c r="AJ5301" s="93"/>
    </row>
    <row r="5302" spans="30:36" ht="18">
      <c r="AD5302" s="93"/>
      <c r="AE5302" s="214"/>
      <c r="AF5302" s="93"/>
      <c r="AG5302" s="93"/>
      <c r="AH5302" s="93"/>
      <c r="AI5302" s="93"/>
      <c r="AJ5302" s="93"/>
    </row>
    <row r="5303" spans="30:36" ht="18">
      <c r="AD5303" s="93"/>
      <c r="AE5303" s="214"/>
      <c r="AF5303" s="93"/>
      <c r="AG5303" s="93"/>
      <c r="AH5303" s="93"/>
      <c r="AI5303" s="93"/>
      <c r="AJ5303" s="93"/>
    </row>
    <row r="5304" spans="30:36" ht="18">
      <c r="AD5304" s="93"/>
      <c r="AE5304" s="214"/>
      <c r="AF5304" s="93"/>
      <c r="AG5304" s="93"/>
      <c r="AH5304" s="93"/>
      <c r="AI5304" s="93"/>
      <c r="AJ5304" s="93"/>
    </row>
    <row r="5305" spans="30:36" ht="18">
      <c r="AD5305" s="93"/>
      <c r="AE5305" s="214"/>
      <c r="AF5305" s="93"/>
      <c r="AG5305" s="93"/>
      <c r="AH5305" s="93"/>
      <c r="AI5305" s="93"/>
      <c r="AJ5305" s="93"/>
    </row>
    <row r="5306" spans="30:36" ht="18">
      <c r="AD5306" s="93"/>
      <c r="AE5306" s="214"/>
      <c r="AF5306" s="93"/>
      <c r="AG5306" s="93"/>
      <c r="AH5306" s="93"/>
      <c r="AI5306" s="93"/>
      <c r="AJ5306" s="93"/>
    </row>
    <row r="5307" spans="30:36" ht="18">
      <c r="AD5307" s="93"/>
      <c r="AE5307" s="214"/>
      <c r="AF5307" s="93"/>
      <c r="AG5307" s="93"/>
      <c r="AH5307" s="93"/>
      <c r="AI5307" s="93"/>
      <c r="AJ5307" s="93"/>
    </row>
    <row r="5308" spans="30:36" ht="18">
      <c r="AD5308" s="93"/>
      <c r="AE5308" s="214"/>
      <c r="AF5308" s="93"/>
      <c r="AG5308" s="93"/>
      <c r="AH5308" s="93"/>
      <c r="AI5308" s="93"/>
      <c r="AJ5308" s="93"/>
    </row>
    <row r="5309" spans="30:36" ht="18">
      <c r="AD5309" s="93"/>
      <c r="AE5309" s="214"/>
      <c r="AF5309" s="93"/>
      <c r="AG5309" s="93"/>
      <c r="AH5309" s="93"/>
      <c r="AI5309" s="93"/>
      <c r="AJ5309" s="93"/>
    </row>
    <row r="5310" spans="30:36" ht="18">
      <c r="AD5310" s="93"/>
      <c r="AE5310" s="214"/>
      <c r="AF5310" s="93"/>
      <c r="AG5310" s="93"/>
      <c r="AH5310" s="93"/>
      <c r="AI5310" s="93"/>
      <c r="AJ5310" s="93"/>
    </row>
    <row r="5311" spans="30:36" ht="18">
      <c r="AD5311" s="93"/>
      <c r="AE5311" s="215"/>
      <c r="AF5311" s="93"/>
      <c r="AG5311" s="93"/>
      <c r="AH5311" s="93"/>
      <c r="AI5311" s="93"/>
      <c r="AJ5311" s="93"/>
    </row>
    <row r="5312" spans="30:36" ht="18">
      <c r="AD5312" s="93"/>
      <c r="AE5312" s="215"/>
      <c r="AF5312" s="93"/>
      <c r="AG5312" s="93"/>
      <c r="AH5312" s="93"/>
      <c r="AI5312" s="93"/>
      <c r="AJ5312" s="93"/>
    </row>
    <row r="5313" spans="30:36" ht="18">
      <c r="AD5313" s="93"/>
      <c r="AE5313" s="214"/>
      <c r="AF5313" s="93"/>
      <c r="AG5313" s="93"/>
      <c r="AH5313" s="93"/>
      <c r="AI5313" s="93"/>
      <c r="AJ5313" s="93"/>
    </row>
    <row r="5314" spans="30:36" ht="18">
      <c r="AD5314" s="93"/>
      <c r="AE5314" s="214"/>
      <c r="AF5314" s="93"/>
      <c r="AG5314" s="93"/>
      <c r="AH5314" s="93"/>
      <c r="AI5314" s="93"/>
      <c r="AJ5314" s="93"/>
    </row>
    <row r="5315" spans="30:36" ht="18">
      <c r="AD5315" s="93"/>
      <c r="AE5315" s="214"/>
      <c r="AF5315" s="93"/>
      <c r="AG5315" s="93"/>
      <c r="AH5315" s="93"/>
      <c r="AI5315" s="93"/>
      <c r="AJ5315" s="93"/>
    </row>
    <row r="5316" spans="30:36" ht="18">
      <c r="AD5316" s="93"/>
      <c r="AE5316" s="214"/>
      <c r="AF5316" s="93"/>
      <c r="AG5316" s="93"/>
      <c r="AH5316" s="93"/>
      <c r="AI5316" s="93"/>
      <c r="AJ5316" s="93"/>
    </row>
    <row r="5317" spans="30:36" ht="18">
      <c r="AD5317" s="93"/>
      <c r="AE5317" s="214"/>
      <c r="AF5317" s="93"/>
      <c r="AG5317" s="93"/>
      <c r="AH5317" s="93"/>
      <c r="AI5317" s="93"/>
      <c r="AJ5317" s="93"/>
    </row>
    <row r="5318" spans="30:36" ht="18">
      <c r="AD5318" s="93"/>
      <c r="AE5318" s="214"/>
      <c r="AF5318" s="93"/>
      <c r="AG5318" s="93"/>
      <c r="AH5318" s="93"/>
      <c r="AI5318" s="93"/>
      <c r="AJ5318" s="93"/>
    </row>
    <row r="5319" spans="30:36" ht="18">
      <c r="AD5319" s="93"/>
      <c r="AE5319" s="214"/>
      <c r="AF5319" s="93"/>
      <c r="AG5319" s="93"/>
      <c r="AH5319" s="93"/>
      <c r="AI5319" s="93"/>
      <c r="AJ5319" s="93"/>
    </row>
    <row r="5320" spans="30:36" ht="18">
      <c r="AD5320" s="93"/>
      <c r="AE5320" s="214"/>
      <c r="AF5320" s="93"/>
      <c r="AG5320" s="93"/>
      <c r="AH5320" s="93"/>
      <c r="AI5320" s="93"/>
      <c r="AJ5320" s="93"/>
    </row>
    <row r="5321" spans="30:36" ht="18">
      <c r="AD5321" s="93"/>
      <c r="AE5321" s="214"/>
      <c r="AF5321" s="93"/>
      <c r="AG5321" s="93"/>
      <c r="AH5321" s="93"/>
      <c r="AI5321" s="93"/>
      <c r="AJ5321" s="93"/>
    </row>
    <row r="5322" spans="30:36" ht="18">
      <c r="AD5322" s="93"/>
      <c r="AE5322" s="214"/>
      <c r="AF5322" s="93"/>
      <c r="AG5322" s="93"/>
      <c r="AH5322" s="93"/>
      <c r="AI5322" s="93"/>
      <c r="AJ5322" s="93"/>
    </row>
    <row r="5323" spans="30:36" ht="18">
      <c r="AD5323" s="93"/>
      <c r="AE5323" s="214"/>
      <c r="AF5323" s="93"/>
      <c r="AG5323" s="93"/>
      <c r="AH5323" s="93"/>
      <c r="AI5323" s="93"/>
      <c r="AJ5323" s="93"/>
    </row>
    <row r="5324" spans="30:36" ht="18">
      <c r="AD5324" s="93"/>
      <c r="AE5324" s="214"/>
      <c r="AF5324" s="93"/>
      <c r="AG5324" s="93"/>
      <c r="AH5324" s="93"/>
      <c r="AI5324" s="93"/>
      <c r="AJ5324" s="93"/>
    </row>
    <row r="5325" spans="30:36" ht="18">
      <c r="AD5325" s="93"/>
      <c r="AE5325" s="214"/>
      <c r="AF5325" s="93"/>
      <c r="AG5325" s="93"/>
      <c r="AH5325" s="93"/>
      <c r="AI5325" s="93"/>
      <c r="AJ5325" s="93"/>
    </row>
    <row r="5326" spans="30:36" ht="18">
      <c r="AD5326" s="93"/>
      <c r="AE5326" s="214"/>
      <c r="AF5326" s="93"/>
      <c r="AG5326" s="93"/>
      <c r="AH5326" s="93"/>
      <c r="AI5326" s="93"/>
      <c r="AJ5326" s="93"/>
    </row>
    <row r="5327" spans="30:36" ht="18">
      <c r="AD5327" s="93"/>
      <c r="AE5327" s="214"/>
      <c r="AF5327" s="93"/>
      <c r="AG5327" s="93"/>
      <c r="AH5327" s="93"/>
      <c r="AI5327" s="93"/>
      <c r="AJ5327" s="93"/>
    </row>
    <row r="5328" spans="30:36" ht="18">
      <c r="AD5328" s="93"/>
      <c r="AE5328" s="214"/>
      <c r="AF5328" s="93"/>
      <c r="AG5328" s="93"/>
      <c r="AH5328" s="93"/>
      <c r="AI5328" s="93"/>
      <c r="AJ5328" s="93"/>
    </row>
    <row r="5329" spans="30:36" ht="18">
      <c r="AD5329" s="93"/>
      <c r="AE5329" s="214"/>
      <c r="AF5329" s="93"/>
      <c r="AG5329" s="93"/>
      <c r="AH5329" s="93"/>
      <c r="AI5329" s="93"/>
      <c r="AJ5329" s="93"/>
    </row>
    <row r="5330" spans="30:36" ht="18">
      <c r="AD5330" s="93"/>
      <c r="AE5330" s="214"/>
      <c r="AF5330" s="93"/>
      <c r="AG5330" s="93"/>
      <c r="AH5330" s="93"/>
      <c r="AI5330" s="93"/>
      <c r="AJ5330" s="93"/>
    </row>
    <row r="5331" spans="30:36" ht="18">
      <c r="AD5331" s="93"/>
      <c r="AE5331" s="215"/>
      <c r="AF5331" s="93"/>
      <c r="AG5331" s="93"/>
      <c r="AH5331" s="93"/>
      <c r="AI5331" s="93"/>
      <c r="AJ5331" s="93"/>
    </row>
    <row r="5332" spans="30:36" ht="18">
      <c r="AD5332" s="93"/>
      <c r="AE5332" s="214"/>
      <c r="AF5332" s="93"/>
      <c r="AG5332" s="93"/>
      <c r="AH5332" s="93"/>
      <c r="AI5332" s="93"/>
      <c r="AJ5332" s="93"/>
    </row>
    <row r="5333" spans="30:36" ht="18">
      <c r="AD5333" s="93"/>
      <c r="AE5333" s="214"/>
      <c r="AF5333" s="93"/>
      <c r="AG5333" s="93"/>
      <c r="AH5333" s="93"/>
      <c r="AI5333" s="93"/>
      <c r="AJ5333" s="93"/>
    </row>
    <row r="5334" spans="30:36" ht="18">
      <c r="AD5334" s="93"/>
      <c r="AE5334" s="214"/>
      <c r="AF5334" s="93"/>
      <c r="AG5334" s="93"/>
      <c r="AH5334" s="93"/>
      <c r="AI5334" s="93"/>
      <c r="AJ5334" s="93"/>
    </row>
    <row r="5335" spans="30:36" ht="18">
      <c r="AD5335" s="93"/>
      <c r="AE5335" s="214"/>
      <c r="AF5335" s="93"/>
      <c r="AG5335" s="93"/>
      <c r="AH5335" s="93"/>
      <c r="AI5335" s="93"/>
      <c r="AJ5335" s="93"/>
    </row>
    <row r="5336" spans="30:36" ht="18">
      <c r="AD5336" s="93"/>
      <c r="AE5336" s="214"/>
      <c r="AF5336" s="93"/>
      <c r="AG5336" s="93"/>
      <c r="AH5336" s="93"/>
      <c r="AI5336" s="93"/>
      <c r="AJ5336" s="93"/>
    </row>
    <row r="5337" spans="30:36" ht="18">
      <c r="AD5337" s="93"/>
      <c r="AE5337" s="214"/>
      <c r="AF5337" s="93"/>
      <c r="AG5337" s="93"/>
      <c r="AH5337" s="93"/>
      <c r="AI5337" s="93"/>
      <c r="AJ5337" s="93"/>
    </row>
    <row r="5338" spans="30:36" ht="18">
      <c r="AD5338" s="93"/>
      <c r="AE5338" s="214"/>
      <c r="AF5338" s="93"/>
      <c r="AG5338" s="93"/>
      <c r="AH5338" s="93"/>
      <c r="AI5338" s="93"/>
      <c r="AJ5338" s="93"/>
    </row>
    <row r="5339" spans="30:36" ht="18">
      <c r="AD5339" s="93"/>
      <c r="AE5339" s="214"/>
      <c r="AF5339" s="93"/>
      <c r="AG5339" s="93"/>
      <c r="AH5339" s="93"/>
      <c r="AI5339" s="93"/>
      <c r="AJ5339" s="93"/>
    </row>
    <row r="5340" spans="30:36" ht="18">
      <c r="AD5340" s="93"/>
      <c r="AE5340" s="214"/>
      <c r="AF5340" s="93"/>
      <c r="AG5340" s="93"/>
      <c r="AH5340" s="93"/>
      <c r="AI5340" s="93"/>
      <c r="AJ5340" s="93"/>
    </row>
    <row r="5341" spans="30:36" ht="18">
      <c r="AD5341" s="93"/>
      <c r="AE5341" s="214"/>
      <c r="AF5341" s="93"/>
      <c r="AG5341" s="93"/>
      <c r="AH5341" s="93"/>
      <c r="AI5341" s="93"/>
      <c r="AJ5341" s="93"/>
    </row>
    <row r="5342" spans="30:36" ht="18">
      <c r="AD5342" s="93"/>
      <c r="AE5342" s="214"/>
      <c r="AF5342" s="93"/>
      <c r="AG5342" s="93"/>
      <c r="AH5342" s="93"/>
      <c r="AI5342" s="93"/>
      <c r="AJ5342" s="93"/>
    </row>
    <row r="5343" spans="30:36" ht="18">
      <c r="AD5343" s="93"/>
      <c r="AE5343" s="215"/>
      <c r="AF5343" s="93"/>
      <c r="AG5343" s="93"/>
      <c r="AH5343" s="93"/>
      <c r="AI5343" s="93"/>
      <c r="AJ5343" s="93"/>
    </row>
    <row r="5344" spans="30:36" ht="18">
      <c r="AD5344" s="93"/>
      <c r="AE5344" s="215"/>
      <c r="AF5344" s="93"/>
      <c r="AG5344" s="93"/>
      <c r="AH5344" s="93"/>
      <c r="AI5344" s="93"/>
      <c r="AJ5344" s="93"/>
    </row>
    <row r="5345" spans="30:36" ht="18">
      <c r="AD5345" s="93"/>
      <c r="AE5345" s="214"/>
      <c r="AF5345" s="93"/>
      <c r="AG5345" s="93"/>
      <c r="AH5345" s="93"/>
      <c r="AI5345" s="93"/>
      <c r="AJ5345" s="93"/>
    </row>
    <row r="5346" spans="30:36" ht="18">
      <c r="AD5346" s="93"/>
      <c r="AE5346" s="214"/>
      <c r="AF5346" s="93"/>
      <c r="AG5346" s="93"/>
      <c r="AH5346" s="93"/>
      <c r="AI5346" s="93"/>
      <c r="AJ5346" s="93"/>
    </row>
    <row r="5347" spans="30:36" ht="18">
      <c r="AD5347" s="93"/>
      <c r="AE5347" s="214"/>
      <c r="AF5347" s="93"/>
      <c r="AG5347" s="93"/>
      <c r="AH5347" s="93"/>
      <c r="AI5347" s="93"/>
      <c r="AJ5347" s="93"/>
    </row>
    <row r="5348" spans="30:36" ht="18">
      <c r="AD5348" s="93"/>
      <c r="AE5348" s="214"/>
      <c r="AF5348" s="93"/>
      <c r="AG5348" s="93"/>
      <c r="AH5348" s="93"/>
      <c r="AI5348" s="93"/>
      <c r="AJ5348" s="93"/>
    </row>
    <row r="5349" spans="30:36" ht="18">
      <c r="AD5349" s="93"/>
      <c r="AE5349" s="214"/>
      <c r="AF5349" s="93"/>
      <c r="AG5349" s="93"/>
      <c r="AH5349" s="93"/>
      <c r="AI5349" s="93"/>
      <c r="AJ5349" s="93"/>
    </row>
    <row r="5350" spans="30:36" ht="18">
      <c r="AD5350" s="93"/>
      <c r="AE5350" s="215"/>
      <c r="AF5350" s="93"/>
      <c r="AG5350" s="93"/>
      <c r="AH5350" s="93"/>
      <c r="AI5350" s="93"/>
      <c r="AJ5350" s="93"/>
    </row>
    <row r="5351" spans="30:36" ht="18">
      <c r="AD5351" s="93"/>
      <c r="AE5351" s="215"/>
      <c r="AF5351" s="93"/>
      <c r="AG5351" s="93"/>
      <c r="AH5351" s="93"/>
      <c r="AI5351" s="93"/>
      <c r="AJ5351" s="93"/>
    </row>
    <row r="5352" spans="30:36" ht="18">
      <c r="AD5352" s="93"/>
      <c r="AE5352" s="214"/>
      <c r="AF5352" s="93"/>
      <c r="AG5352" s="93"/>
      <c r="AH5352" s="93"/>
      <c r="AI5352" s="93"/>
      <c r="AJ5352" s="93"/>
    </row>
    <row r="5353" spans="30:36" ht="18">
      <c r="AD5353" s="93"/>
      <c r="AE5353" s="214"/>
      <c r="AF5353" s="93"/>
      <c r="AG5353" s="93"/>
      <c r="AH5353" s="93"/>
      <c r="AI5353" s="93"/>
      <c r="AJ5353" s="93"/>
    </row>
    <row r="5354" spans="30:36" ht="18">
      <c r="AD5354" s="93"/>
      <c r="AE5354" s="214"/>
      <c r="AF5354" s="93"/>
      <c r="AG5354" s="93"/>
      <c r="AH5354" s="93"/>
      <c r="AI5354" s="93"/>
      <c r="AJ5354" s="93"/>
    </row>
    <row r="5355" spans="30:36" ht="18">
      <c r="AD5355" s="93"/>
      <c r="AE5355" s="214"/>
      <c r="AF5355" s="93"/>
      <c r="AG5355" s="93"/>
      <c r="AH5355" s="93"/>
      <c r="AI5355" s="93"/>
      <c r="AJ5355" s="93"/>
    </row>
    <row r="5356" spans="30:36" ht="18">
      <c r="AD5356" s="93"/>
      <c r="AE5356" s="215"/>
      <c r="AF5356" s="93"/>
      <c r="AG5356" s="93"/>
      <c r="AH5356" s="93"/>
      <c r="AI5356" s="93"/>
      <c r="AJ5356" s="93"/>
    </row>
    <row r="5357" spans="30:36" ht="18">
      <c r="AD5357" s="93"/>
      <c r="AE5357" s="215"/>
      <c r="AF5357" s="93"/>
      <c r="AG5357" s="93"/>
      <c r="AH5357" s="93"/>
      <c r="AI5357" s="93"/>
      <c r="AJ5357" s="93"/>
    </row>
    <row r="5358" spans="30:36" ht="18">
      <c r="AD5358" s="93"/>
      <c r="AE5358" s="214"/>
      <c r="AF5358" s="93"/>
      <c r="AG5358" s="93"/>
      <c r="AH5358" s="93"/>
      <c r="AI5358" s="93"/>
      <c r="AJ5358" s="93"/>
    </row>
    <row r="5359" spans="30:36" ht="18">
      <c r="AD5359" s="93"/>
      <c r="AE5359" s="214"/>
      <c r="AF5359" s="93"/>
      <c r="AG5359" s="93"/>
      <c r="AH5359" s="93"/>
      <c r="AI5359" s="93"/>
      <c r="AJ5359" s="93"/>
    </row>
    <row r="5360" spans="30:36" ht="18">
      <c r="AD5360" s="93"/>
      <c r="AE5360" s="214"/>
      <c r="AF5360" s="93"/>
      <c r="AG5360" s="93"/>
      <c r="AH5360" s="93"/>
      <c r="AI5360" s="93"/>
      <c r="AJ5360" s="93"/>
    </row>
    <row r="5361" spans="30:36" ht="18">
      <c r="AD5361" s="93"/>
      <c r="AE5361" s="214"/>
      <c r="AF5361" s="93"/>
      <c r="AG5361" s="93"/>
      <c r="AH5361" s="93"/>
      <c r="AI5361" s="93"/>
      <c r="AJ5361" s="93"/>
    </row>
    <row r="5362" spans="30:36" ht="18">
      <c r="AD5362" s="93"/>
      <c r="AE5362" s="214"/>
      <c r="AF5362" s="93"/>
      <c r="AG5362" s="93"/>
      <c r="AH5362" s="93"/>
      <c r="AI5362" s="93"/>
      <c r="AJ5362" s="93"/>
    </row>
    <row r="5363" spans="30:36" ht="18">
      <c r="AD5363" s="93"/>
      <c r="AE5363" s="214"/>
      <c r="AF5363" s="93"/>
      <c r="AG5363" s="93"/>
      <c r="AH5363" s="93"/>
      <c r="AI5363" s="93"/>
      <c r="AJ5363" s="93"/>
    </row>
    <row r="5364" spans="30:36" ht="18">
      <c r="AD5364" s="93"/>
      <c r="AE5364" s="214"/>
      <c r="AF5364" s="93"/>
      <c r="AG5364" s="93"/>
      <c r="AH5364" s="93"/>
      <c r="AI5364" s="93"/>
      <c r="AJ5364" s="93"/>
    </row>
    <row r="5365" spans="30:36" ht="18">
      <c r="AD5365" s="93"/>
      <c r="AE5365" s="214"/>
      <c r="AF5365" s="93"/>
      <c r="AG5365" s="93"/>
      <c r="AH5365" s="93"/>
      <c r="AI5365" s="93"/>
      <c r="AJ5365" s="93"/>
    </row>
    <row r="5366" spans="30:36" ht="18">
      <c r="AD5366" s="93"/>
      <c r="AE5366" s="214"/>
      <c r="AF5366" s="93"/>
      <c r="AG5366" s="93"/>
      <c r="AH5366" s="93"/>
      <c r="AI5366" s="93"/>
      <c r="AJ5366" s="93"/>
    </row>
    <row r="5367" spans="30:36" ht="18">
      <c r="AD5367" s="93"/>
      <c r="AE5367" s="214"/>
      <c r="AF5367" s="93"/>
      <c r="AG5367" s="93"/>
      <c r="AH5367" s="93"/>
      <c r="AI5367" s="93"/>
      <c r="AJ5367" s="93"/>
    </row>
    <row r="5368" spans="30:36" ht="18">
      <c r="AD5368" s="93"/>
      <c r="AE5368" s="214"/>
      <c r="AF5368" s="93"/>
      <c r="AG5368" s="93"/>
      <c r="AH5368" s="93"/>
      <c r="AI5368" s="93"/>
      <c r="AJ5368" s="93"/>
    </row>
    <row r="5369" spans="30:36" ht="18">
      <c r="AD5369" s="93"/>
      <c r="AE5369" s="214"/>
      <c r="AF5369" s="93"/>
      <c r="AG5369" s="93"/>
      <c r="AH5369" s="93"/>
      <c r="AI5369" s="93"/>
      <c r="AJ5369" s="93"/>
    </row>
    <row r="5370" spans="30:36" ht="18">
      <c r="AD5370" s="93"/>
      <c r="AE5370" s="214"/>
      <c r="AF5370" s="93"/>
      <c r="AG5370" s="93"/>
      <c r="AH5370" s="93"/>
      <c r="AI5370" s="93"/>
      <c r="AJ5370" s="93"/>
    </row>
    <row r="5371" spans="30:36" ht="18">
      <c r="AD5371" s="93"/>
      <c r="AE5371" s="214"/>
      <c r="AF5371" s="93"/>
      <c r="AG5371" s="93"/>
      <c r="AH5371" s="93"/>
      <c r="AI5371" s="93"/>
      <c r="AJ5371" s="93"/>
    </row>
    <row r="5372" spans="30:36" ht="18">
      <c r="AD5372" s="93"/>
      <c r="AE5372" s="214"/>
      <c r="AF5372" s="93"/>
      <c r="AG5372" s="93"/>
      <c r="AH5372" s="93"/>
      <c r="AI5372" s="93"/>
      <c r="AJ5372" s="93"/>
    </row>
    <row r="5373" spans="30:36" ht="18">
      <c r="AD5373" s="93"/>
      <c r="AE5373" s="215"/>
      <c r="AF5373" s="93"/>
      <c r="AG5373" s="93"/>
      <c r="AH5373" s="93"/>
      <c r="AI5373" s="93"/>
      <c r="AJ5373" s="93"/>
    </row>
    <row r="5374" spans="30:36" ht="18">
      <c r="AD5374" s="93"/>
      <c r="AE5374" s="215"/>
      <c r="AF5374" s="93"/>
      <c r="AG5374" s="93"/>
      <c r="AH5374" s="93"/>
      <c r="AI5374" s="93"/>
      <c r="AJ5374" s="93"/>
    </row>
    <row r="5375" spans="30:36" ht="18">
      <c r="AD5375" s="93"/>
      <c r="AE5375" s="214"/>
      <c r="AF5375" s="93"/>
      <c r="AG5375" s="93"/>
      <c r="AH5375" s="93"/>
      <c r="AI5375" s="93"/>
      <c r="AJ5375" s="93"/>
    </row>
    <row r="5376" spans="30:36" ht="18">
      <c r="AD5376" s="93"/>
      <c r="AE5376" s="214"/>
      <c r="AF5376" s="93"/>
      <c r="AG5376" s="93"/>
      <c r="AH5376" s="93"/>
      <c r="AI5376" s="93"/>
      <c r="AJ5376" s="93"/>
    </row>
    <row r="5377" spans="30:36" ht="18">
      <c r="AD5377" s="93"/>
      <c r="AE5377" s="214"/>
      <c r="AF5377" s="93"/>
      <c r="AG5377" s="93"/>
      <c r="AH5377" s="93"/>
      <c r="AI5377" s="93"/>
      <c r="AJ5377" s="93"/>
    </row>
    <row r="5378" spans="30:36" ht="18">
      <c r="AD5378" s="93"/>
      <c r="AE5378" s="215"/>
      <c r="AF5378" s="93"/>
      <c r="AG5378" s="93"/>
      <c r="AH5378" s="93"/>
      <c r="AI5378" s="93"/>
      <c r="AJ5378" s="93"/>
    </row>
    <row r="5379" spans="30:36" ht="18">
      <c r="AD5379" s="93"/>
      <c r="AE5379" s="214"/>
      <c r="AF5379" s="93"/>
      <c r="AG5379" s="93"/>
      <c r="AH5379" s="93"/>
      <c r="AI5379" s="93"/>
      <c r="AJ5379" s="93"/>
    </row>
    <row r="5380" spans="30:36" ht="18">
      <c r="AD5380" s="93"/>
      <c r="AE5380" s="214"/>
      <c r="AF5380" s="93"/>
      <c r="AG5380" s="93"/>
      <c r="AH5380" s="93"/>
      <c r="AI5380" s="93"/>
      <c r="AJ5380" s="93"/>
    </row>
    <row r="5381" spans="30:36" ht="18">
      <c r="AD5381" s="93"/>
      <c r="AE5381" s="214"/>
      <c r="AF5381" s="93"/>
      <c r="AG5381" s="93"/>
      <c r="AH5381" s="93"/>
      <c r="AI5381" s="93"/>
      <c r="AJ5381" s="93"/>
    </row>
    <row r="5382" spans="30:36" ht="18">
      <c r="AD5382" s="93"/>
      <c r="AE5382" s="215"/>
      <c r="AF5382" s="93"/>
      <c r="AG5382" s="93"/>
      <c r="AH5382" s="93"/>
      <c r="AI5382" s="93"/>
      <c r="AJ5382" s="93"/>
    </row>
    <row r="5383" spans="30:36" ht="18">
      <c r="AD5383" s="93"/>
      <c r="AE5383" s="214"/>
      <c r="AF5383" s="93"/>
      <c r="AG5383" s="93"/>
      <c r="AH5383" s="93"/>
      <c r="AI5383" s="93"/>
      <c r="AJ5383" s="93"/>
    </row>
    <row r="5384" spans="30:36" ht="18">
      <c r="AD5384" s="93"/>
      <c r="AE5384" s="214"/>
      <c r="AF5384" s="93"/>
      <c r="AG5384" s="93"/>
      <c r="AH5384" s="93"/>
      <c r="AI5384" s="93"/>
      <c r="AJ5384" s="93"/>
    </row>
    <row r="5385" spans="30:36" ht="18">
      <c r="AD5385" s="93"/>
      <c r="AE5385" s="214"/>
      <c r="AF5385" s="93"/>
      <c r="AG5385" s="93"/>
      <c r="AH5385" s="93"/>
      <c r="AI5385" s="93"/>
      <c r="AJ5385" s="93"/>
    </row>
    <row r="5386" spans="30:36" ht="18">
      <c r="AD5386" s="93"/>
      <c r="AE5386" s="214"/>
      <c r="AF5386" s="93"/>
      <c r="AG5386" s="93"/>
      <c r="AH5386" s="93"/>
      <c r="AI5386" s="93"/>
      <c r="AJ5386" s="93"/>
    </row>
    <row r="5387" spans="30:36" ht="18">
      <c r="AD5387" s="93"/>
      <c r="AE5387" s="214"/>
      <c r="AF5387" s="93"/>
      <c r="AG5387" s="93"/>
      <c r="AH5387" s="93"/>
      <c r="AI5387" s="93"/>
      <c r="AJ5387" s="93"/>
    </row>
    <row r="5388" spans="30:36" ht="18">
      <c r="AD5388" s="93"/>
      <c r="AE5388" s="214"/>
      <c r="AF5388" s="93"/>
      <c r="AG5388" s="93"/>
      <c r="AH5388" s="93"/>
      <c r="AI5388" s="93"/>
      <c r="AJ5388" s="93"/>
    </row>
    <row r="5389" spans="30:36" ht="18">
      <c r="AD5389" s="93"/>
      <c r="AE5389" s="214"/>
      <c r="AF5389" s="93"/>
      <c r="AG5389" s="93"/>
      <c r="AH5389" s="93"/>
      <c r="AI5389" s="93"/>
      <c r="AJ5389" s="93"/>
    </row>
    <row r="5390" spans="30:36" ht="18">
      <c r="AD5390" s="93"/>
      <c r="AE5390" s="214"/>
      <c r="AF5390" s="93"/>
      <c r="AG5390" s="93"/>
      <c r="AH5390" s="93"/>
      <c r="AI5390" s="93"/>
      <c r="AJ5390" s="93"/>
    </row>
    <row r="5391" spans="30:36" ht="18">
      <c r="AD5391" s="93"/>
      <c r="AE5391" s="214"/>
      <c r="AF5391" s="93"/>
      <c r="AG5391" s="93"/>
      <c r="AH5391" s="93"/>
      <c r="AI5391" s="93"/>
      <c r="AJ5391" s="93"/>
    </row>
    <row r="5392" spans="30:36" ht="18">
      <c r="AD5392" s="93"/>
      <c r="AE5392" s="214"/>
      <c r="AF5392" s="93"/>
      <c r="AG5392" s="93"/>
      <c r="AH5392" s="93"/>
      <c r="AI5392" s="93"/>
      <c r="AJ5392" s="93"/>
    </row>
    <row r="5393" spans="30:36" ht="18">
      <c r="AD5393" s="93"/>
      <c r="AE5393" s="215"/>
      <c r="AF5393" s="93"/>
      <c r="AG5393" s="93"/>
      <c r="AH5393" s="93"/>
      <c r="AI5393" s="93"/>
      <c r="AJ5393" s="93"/>
    </row>
    <row r="5394" spans="30:36" ht="18">
      <c r="AD5394" s="93"/>
      <c r="AE5394" s="215"/>
      <c r="AF5394" s="93"/>
      <c r="AG5394" s="93"/>
      <c r="AH5394" s="93"/>
      <c r="AI5394" s="93"/>
      <c r="AJ5394" s="93"/>
    </row>
    <row r="5395" spans="30:36" ht="18">
      <c r="AD5395" s="93"/>
      <c r="AE5395" s="215"/>
      <c r="AF5395" s="93"/>
      <c r="AG5395" s="93"/>
      <c r="AH5395" s="93"/>
      <c r="AI5395" s="93"/>
      <c r="AJ5395" s="93"/>
    </row>
    <row r="5396" spans="30:36" ht="18">
      <c r="AD5396" s="93"/>
      <c r="AE5396" s="214"/>
      <c r="AF5396" s="93"/>
      <c r="AG5396" s="93"/>
      <c r="AH5396" s="93"/>
      <c r="AI5396" s="93"/>
      <c r="AJ5396" s="93"/>
    </row>
    <row r="5397" spans="30:36" ht="18">
      <c r="AD5397" s="93"/>
      <c r="AE5397" s="214"/>
      <c r="AF5397" s="93"/>
      <c r="AG5397" s="93"/>
      <c r="AH5397" s="93"/>
      <c r="AI5397" s="93"/>
      <c r="AJ5397" s="93"/>
    </row>
    <row r="5398" spans="30:36" ht="18">
      <c r="AD5398" s="93"/>
      <c r="AE5398" s="214"/>
      <c r="AF5398" s="93"/>
      <c r="AG5398" s="93"/>
      <c r="AH5398" s="93"/>
      <c r="AI5398" s="93"/>
      <c r="AJ5398" s="93"/>
    </row>
    <row r="5399" spans="30:36" ht="18">
      <c r="AD5399" s="93"/>
      <c r="AE5399" s="214"/>
      <c r="AF5399" s="93"/>
      <c r="AG5399" s="93"/>
      <c r="AH5399" s="93"/>
      <c r="AI5399" s="93"/>
    </row>
  </sheetData>
  <mergeCells count="40">
    <mergeCell ref="R76:T76"/>
    <mergeCell ref="R19:S19"/>
    <mergeCell ref="R28:S28"/>
    <mergeCell ref="R12:S12"/>
    <mergeCell ref="S5:S6"/>
    <mergeCell ref="AD3:AD6"/>
    <mergeCell ref="P4:P6"/>
    <mergeCell ref="Q4:Q6"/>
    <mergeCell ref="AC4:AC6"/>
    <mergeCell ref="W3:Y3"/>
    <mergeCell ref="Y4:Y6"/>
    <mergeCell ref="U4:U6"/>
    <mergeCell ref="W4:W6"/>
    <mergeCell ref="X4:X6"/>
    <mergeCell ref="V4:V6"/>
    <mergeCell ref="R5:R6"/>
    <mergeCell ref="A3:A6"/>
    <mergeCell ref="C4:C6"/>
    <mergeCell ref="D4:D6"/>
    <mergeCell ref="E4:E6"/>
    <mergeCell ref="AA4:AA6"/>
    <mergeCell ref="Z4:Z6"/>
    <mergeCell ref="T4:T6"/>
    <mergeCell ref="M4:M6"/>
    <mergeCell ref="G3:G6"/>
    <mergeCell ref="O3:O6"/>
    <mergeCell ref="H4:H6"/>
    <mergeCell ref="I4:L4"/>
    <mergeCell ref="I5:I6"/>
    <mergeCell ref="J5:J6"/>
    <mergeCell ref="R4:S4"/>
    <mergeCell ref="P3:V3"/>
    <mergeCell ref="F3:F6"/>
    <mergeCell ref="K5:K6"/>
    <mergeCell ref="L5:L6"/>
    <mergeCell ref="Z3:AC3"/>
    <mergeCell ref="C3:E3"/>
    <mergeCell ref="AB4:AB6"/>
    <mergeCell ref="H3:N3"/>
    <mergeCell ref="N4:N6"/>
  </mergeCells>
  <dataValidations count="1">
    <dataValidation type="list" allowBlank="1" showInputMessage="1" showErrorMessage="1" sqref="B78:B87 B8:B25 B48:B54 B27:B37 B39:B46 B56:B69 B71:B76 B89:B100" xr:uid="{00000000-0002-0000-0600-000000000000}">
      <formula1>$B$4:$B$6</formula1>
    </dataValidation>
  </dataValidations>
  <pageMargins left="0.70866141732283505" right="0.70866141732283505" top="0.70866141732283505" bottom="0.70866141732283505" header="0.31496062992126" footer="0.31496062992126"/>
  <pageSetup paperSize="9" scale="70" fitToHeight="0" orientation="landscape" r:id="rId1"/>
  <headerFooter>
    <oddFooter>&amp;C&amp;A&amp;R&amp;P</oddFooter>
  </headerFooter>
  <ignoredErrors>
    <ignoredError sqref="AB36 AB42:AC42 AB40:AB41 AB87:AC87 AB65:AC65 AB11:AC11 AB33 AB74 AB93 AC56 AC54 AC49:AC50 AC29 AC22 AC14:AC15 AC9:AC10 AB24 AB66:AB67 AB8 AB21 AB81:AB82 AB78 AC71 AC66 AC59" numberStoredAsText="1"/>
    <ignoredError sqref="M10:M11 M13 M17 M21:M22 M25 M27:M28 M30 M32:M34 M42 M45 M53:M54 M57 M61 M65 M67:M68 M73:M76 M79:M80 M83:M84 M87 M89 M91 M94:M95 M97:M99" formulaRange="1"/>
    <ignoredError sqref="AB46"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N119"/>
  <sheetViews>
    <sheetView zoomScaleNormal="100" zoomScaleSheetLayoutView="50" zoomScalePageLayoutView="70" workbookViewId="0">
      <pane ySplit="6" topLeftCell="A7" activePane="bottomLeft" state="frozen"/>
      <selection activeCell="D230" sqref="D230"/>
      <selection pane="bottomLeft" sqref="A1:M1"/>
    </sheetView>
  </sheetViews>
  <sheetFormatPr baseColWidth="10" defaultColWidth="8.83203125" defaultRowHeight="15"/>
  <cols>
    <col min="1" max="1" width="24.83203125" style="3" customWidth="1"/>
    <col min="2" max="2" width="37.83203125" style="3" customWidth="1"/>
    <col min="3" max="3" width="5.5" style="3" customWidth="1"/>
    <col min="4" max="4" width="4.5" style="60" customWidth="1"/>
    <col min="5" max="5" width="5.5" style="61" customWidth="1"/>
    <col min="6" max="7" width="16.83203125" style="229" customWidth="1"/>
    <col min="8" max="8" width="13.83203125" style="222" customWidth="1"/>
    <col min="9" max="9" width="15.83203125" style="224" customWidth="1"/>
    <col min="10" max="10" width="13.83203125" style="224" customWidth="1"/>
    <col min="11" max="12" width="12.5" style="62" customWidth="1"/>
    <col min="13" max="13" width="18.83203125" customWidth="1"/>
    <col min="14" max="14" width="11" style="198" bestFit="1" customWidth="1"/>
  </cols>
  <sheetData>
    <row r="1" spans="1:14" s="1" customFormat="1" ht="30" customHeight="1">
      <c r="A1" s="265" t="s">
        <v>495</v>
      </c>
      <c r="B1" s="265"/>
      <c r="C1" s="265"/>
      <c r="D1" s="265"/>
      <c r="E1" s="265"/>
      <c r="F1" s="286"/>
      <c r="G1" s="286"/>
      <c r="H1" s="265"/>
      <c r="I1" s="265"/>
      <c r="J1" s="265"/>
      <c r="K1" s="265"/>
      <c r="L1" s="265"/>
      <c r="M1" s="287"/>
      <c r="N1" s="198"/>
    </row>
    <row r="2" spans="1:14" s="1" customFormat="1" ht="16" customHeight="1">
      <c r="A2" s="288" t="s">
        <v>670</v>
      </c>
      <c r="B2" s="288"/>
      <c r="C2" s="288"/>
      <c r="D2" s="288"/>
      <c r="E2" s="288"/>
      <c r="F2" s="289"/>
      <c r="G2" s="289"/>
      <c r="H2" s="288"/>
      <c r="I2" s="288"/>
      <c r="J2" s="288"/>
      <c r="K2" s="288"/>
      <c r="L2" s="288"/>
      <c r="M2" s="290"/>
      <c r="N2" s="198"/>
    </row>
    <row r="3" spans="1:14" s="1" customFormat="1" ht="97" customHeight="1">
      <c r="A3" s="264" t="s">
        <v>655</v>
      </c>
      <c r="B3" s="105" t="str">
        <f>'Оценка (раздел 1)'!I3</f>
        <v>1.5 Какая доля субсидий местным бюджетам на 2023 год распределена законом о бюджете по муниципальным образованиям (в процентах от общего объема субсидий, предусмотренных местным бюджетам законом о бюджете на 2023 год), и сведения о таком распределении представлены комплексно в соответствующем приложении (приложениях) к закону о бюджете?</v>
      </c>
      <c r="C3" s="275" t="s">
        <v>119</v>
      </c>
      <c r="D3" s="263"/>
      <c r="E3" s="263"/>
      <c r="F3" s="263" t="s">
        <v>637</v>
      </c>
      <c r="G3" s="263" t="s">
        <v>185</v>
      </c>
      <c r="H3" s="263" t="s">
        <v>183</v>
      </c>
      <c r="I3" s="285" t="s">
        <v>184</v>
      </c>
      <c r="J3" s="285" t="s">
        <v>233</v>
      </c>
      <c r="K3" s="276" t="s">
        <v>439</v>
      </c>
      <c r="L3" s="263"/>
      <c r="M3" s="291" t="s">
        <v>135</v>
      </c>
      <c r="N3" s="198"/>
    </row>
    <row r="4" spans="1:14" ht="15" customHeight="1">
      <c r="A4" s="264"/>
      <c r="B4" s="69" t="str">
        <f>'Методика (раздел 1)'!B34</f>
        <v>75 – 100 %</v>
      </c>
      <c r="C4" s="292" t="s">
        <v>89</v>
      </c>
      <c r="D4" s="292" t="s">
        <v>165</v>
      </c>
      <c r="E4" s="293" t="s">
        <v>88</v>
      </c>
      <c r="F4" s="263"/>
      <c r="G4" s="263"/>
      <c r="H4" s="263"/>
      <c r="I4" s="285"/>
      <c r="J4" s="285"/>
      <c r="K4" s="276" t="s">
        <v>131</v>
      </c>
      <c r="L4" s="276" t="s">
        <v>132</v>
      </c>
      <c r="M4" s="263"/>
    </row>
    <row r="5" spans="1:14" ht="15" customHeight="1">
      <c r="A5" s="264"/>
      <c r="B5" s="69" t="str">
        <f>'Методика (раздел 1)'!B35</f>
        <v>50 – 74,9 %</v>
      </c>
      <c r="C5" s="263"/>
      <c r="D5" s="263"/>
      <c r="E5" s="262"/>
      <c r="F5" s="263"/>
      <c r="G5" s="263"/>
      <c r="H5" s="263"/>
      <c r="I5" s="285"/>
      <c r="J5" s="285"/>
      <c r="K5" s="276"/>
      <c r="L5" s="276"/>
      <c r="M5" s="263"/>
    </row>
    <row r="6" spans="1:14" ht="15" customHeight="1">
      <c r="A6" s="264"/>
      <c r="B6" s="41" t="str">
        <f>'Методика (раздел 1)'!B36</f>
        <v>Менее 50 % или расчет показателя затруднен</v>
      </c>
      <c r="C6" s="263"/>
      <c r="D6" s="263"/>
      <c r="E6" s="262"/>
      <c r="F6" s="263"/>
      <c r="G6" s="263"/>
      <c r="H6" s="263"/>
      <c r="I6" s="285"/>
      <c r="J6" s="285"/>
      <c r="K6" s="276"/>
      <c r="L6" s="276"/>
      <c r="M6" s="263"/>
    </row>
    <row r="7" spans="1:14" ht="15" customHeight="1">
      <c r="A7" s="84" t="s">
        <v>0</v>
      </c>
      <c r="B7" s="86"/>
      <c r="C7" s="86"/>
      <c r="D7" s="89"/>
      <c r="E7" s="143"/>
      <c r="F7" s="188"/>
      <c r="G7" s="188"/>
      <c r="H7" s="97"/>
      <c r="I7" s="147"/>
      <c r="J7" s="147"/>
      <c r="K7" s="42"/>
      <c r="L7" s="45"/>
      <c r="M7" s="97"/>
    </row>
    <row r="8" spans="1:14" s="33" customFormat="1" ht="15" customHeight="1">
      <c r="A8" s="107" t="s">
        <v>1</v>
      </c>
      <c r="B8" s="50" t="s">
        <v>426</v>
      </c>
      <c r="C8" s="47">
        <f>IF(B8="75 – 100 %",2,(IF(B8="50 – 74,9 %",1,0)))</f>
        <v>2</v>
      </c>
      <c r="D8" s="68">
        <v>0.5</v>
      </c>
      <c r="E8" s="48">
        <f>C8*(1-D8)</f>
        <v>1</v>
      </c>
      <c r="F8" s="51">
        <f>'1.4'!J8</f>
        <v>8889709.8000000007</v>
      </c>
      <c r="G8" s="51">
        <f>17971.2+3600+2093+66377+3340+289342+412262.6+801637+296985+207197.7+3705568.2+65613+37487.1+14803+11300+495062.1+9540.5+144326.9+510242.4+5519.1+7243.9+19235+479748.1+28682.8+8333.4+88247.8+64036.8+403877.3+37069.8+32822.3+147754.8</f>
        <v>8417319.7999999989</v>
      </c>
      <c r="H8" s="220">
        <f t="shared" ref="H8:H24" si="0">ROUND(G8/F8*100,1)</f>
        <v>94.7</v>
      </c>
      <c r="I8" s="53" t="s">
        <v>236</v>
      </c>
      <c r="J8" s="53" t="s">
        <v>122</v>
      </c>
      <c r="K8" s="52" t="s">
        <v>262</v>
      </c>
      <c r="L8" s="52" t="s">
        <v>451</v>
      </c>
      <c r="M8" s="57" t="s">
        <v>494</v>
      </c>
      <c r="N8" s="198" t="s">
        <v>111</v>
      </c>
    </row>
    <row r="9" spans="1:14" s="33" customFormat="1" ht="15" customHeight="1">
      <c r="A9" s="107" t="s">
        <v>2</v>
      </c>
      <c r="B9" s="50" t="s">
        <v>426</v>
      </c>
      <c r="C9" s="47">
        <f>IF(B9="75 – 100 %",2,(IF(B9="50 – 74,9 %",1,0)))</f>
        <v>2</v>
      </c>
      <c r="D9" s="68"/>
      <c r="E9" s="48">
        <f t="shared" ref="E9:E24" si="1">C9*(1-D9)</f>
        <v>2</v>
      </c>
      <c r="F9" s="51">
        <f>'1.4'!J9</f>
        <v>10828067.59914</v>
      </c>
      <c r="G9" s="51">
        <f>(260864160+57690845.6+9491390+18475184.02+14198829.79+38477758+32587071+187000000+317617475+645019596+36381437+50838616+8393500+10448438+6688000+4842873+21720320+7446262.63+1462699468.15+13944000+12500000+594648612.49+327500+31730112+27131515.15+328604770+1166130434+685337799.68+55293100+300000000+101003418.29+906676100+789085134.47+43763932.65+340000000+100000000+410659798+362548510.64+32265958+37604450.82+140000000+45195108+59079059+10189091+3727404+9142324+834123900+386915)/1000</f>
        <v>10631980.171379998</v>
      </c>
      <c r="H9" s="220">
        <f t="shared" si="0"/>
        <v>98.2</v>
      </c>
      <c r="I9" s="53" t="s">
        <v>236</v>
      </c>
      <c r="J9" s="53" t="s">
        <v>121</v>
      </c>
      <c r="K9" s="52" t="s">
        <v>258</v>
      </c>
      <c r="L9" s="52" t="s">
        <v>270</v>
      </c>
      <c r="M9" s="57" t="s">
        <v>111</v>
      </c>
      <c r="N9" s="198"/>
    </row>
    <row r="10" spans="1:14" s="33" customFormat="1" ht="15" customHeight="1">
      <c r="A10" s="107" t="s">
        <v>3</v>
      </c>
      <c r="B10" s="50" t="s">
        <v>426</v>
      </c>
      <c r="C10" s="47">
        <f>IF(B10="75 – 100 %",2,(IF(B10="50 – 74,9 %",1,0)))</f>
        <v>2</v>
      </c>
      <c r="D10" s="68"/>
      <c r="E10" s="48">
        <f t="shared" si="1"/>
        <v>2</v>
      </c>
      <c r="F10" s="51">
        <f>'1.4'!J10</f>
        <v>14552112.199999999</v>
      </c>
      <c r="G10" s="51">
        <f>5558.2+323582.5+1200000+3980.2+9911.9+111890.5+89406+10687.3+665339.1+236940.3+16239.9+7147.5+735564.8+1731.2+17206+138806.3+6792.1+3308.2+11141.8+10000+5000+25000+34040.2+128766.5+416556.4+719550.3+11020.8+698348.8+898000+68622.2+17028.8+240142.7+24602.4+2399940+269212.1+71731.4+470638.8+92048.5+61513.2+18409.7+80680.3+103622.9+876679.3+166056.8+157444.5+261795.8+534185+43957.8+10949.4+75422.4+459.9+1021+5840.4+13416.7+105559.6</f>
        <v>12712498.400000002</v>
      </c>
      <c r="H10" s="220">
        <f t="shared" si="0"/>
        <v>87.4</v>
      </c>
      <c r="I10" s="53" t="s">
        <v>236</v>
      </c>
      <c r="J10" s="53" t="s">
        <v>121</v>
      </c>
      <c r="K10" s="52" t="s">
        <v>261</v>
      </c>
      <c r="L10" s="52" t="s">
        <v>283</v>
      </c>
      <c r="M10" s="57" t="s">
        <v>111</v>
      </c>
      <c r="N10" s="198"/>
    </row>
    <row r="11" spans="1:14" ht="15" customHeight="1">
      <c r="A11" s="107" t="s">
        <v>4</v>
      </c>
      <c r="B11" s="50" t="s">
        <v>426</v>
      </c>
      <c r="C11" s="47">
        <f t="shared" ref="C11:C74" si="2">IF(B11="75 – 100 %",2,(IF(B11="50 – 74,9 %",1,0)))</f>
        <v>2</v>
      </c>
      <c r="D11" s="68"/>
      <c r="E11" s="48">
        <f t="shared" si="1"/>
        <v>2</v>
      </c>
      <c r="F11" s="51">
        <f>'1.4'!J11</f>
        <v>31254727</v>
      </c>
      <c r="G11" s="51">
        <f>724430+17699.2+668568.8+137000+3900+1093599.3+107587.4+17325309.3+106770+2000+5000+2000+8986.1+197564.9+733267.7+63768.4+61345.7+9915.7+29897.5+5203+3000+1557+36147.8+1930.5+7532.2+830+5685+88000+4500+3082.5+800+259563+2100000+1140348.1+1252500+788727.9+64082.4+8061.6+43940+57271.5+88418.7+404053+230130.6+297200+26395.9+200000+646430.9+926462.1+418486.2+23688+210923+268347.1+26114+20648.5+149973.4+10000</f>
        <v>31118643.899999995</v>
      </c>
      <c r="H11" s="220">
        <f t="shared" si="0"/>
        <v>99.6</v>
      </c>
      <c r="I11" s="53" t="s">
        <v>236</v>
      </c>
      <c r="J11" s="53" t="s">
        <v>121</v>
      </c>
      <c r="K11" s="52" t="s">
        <v>257</v>
      </c>
      <c r="L11" s="52" t="s">
        <v>452</v>
      </c>
      <c r="M11" s="57" t="s">
        <v>111</v>
      </c>
    </row>
    <row r="12" spans="1:14" s="7" customFormat="1" ht="15" customHeight="1">
      <c r="A12" s="107" t="s">
        <v>5</v>
      </c>
      <c r="B12" s="50" t="s">
        <v>426</v>
      </c>
      <c r="C12" s="47">
        <f t="shared" si="2"/>
        <v>2</v>
      </c>
      <c r="D12" s="68"/>
      <c r="E12" s="48">
        <f t="shared" si="1"/>
        <v>2</v>
      </c>
      <c r="F12" s="51">
        <f>'1.4'!J12</f>
        <v>7671473.4480400002</v>
      </c>
      <c r="G12" s="51">
        <f>(21357070.71+25029192+67352362.32+108943263+37932879.69+504895664.31+25512165+320058394.86+644040303.04+48524100+39792648.26+1000000000+700000000+25000000+3793010.75+41164085.88+126909030.5+3606666.37+282387044+7000000+40474949.5+54460900+4000000+12381100+23967000+700000+341000+746496000+364204500+272940537.63+336228602.72)/1000</f>
        <v>5889492.4705400001</v>
      </c>
      <c r="H12" s="220">
        <f t="shared" si="0"/>
        <v>76.8</v>
      </c>
      <c r="I12" s="53" t="s">
        <v>236</v>
      </c>
      <c r="J12" s="53" t="s">
        <v>121</v>
      </c>
      <c r="K12" s="52" t="s">
        <v>259</v>
      </c>
      <c r="L12" s="52" t="s">
        <v>453</v>
      </c>
      <c r="M12" s="50" t="s">
        <v>111</v>
      </c>
      <c r="N12" s="213"/>
    </row>
    <row r="13" spans="1:14" s="30" customFormat="1" ht="15" customHeight="1">
      <c r="A13" s="107" t="s">
        <v>6</v>
      </c>
      <c r="B13" s="50" t="s">
        <v>426</v>
      </c>
      <c r="C13" s="47">
        <f t="shared" si="2"/>
        <v>2</v>
      </c>
      <c r="D13" s="68"/>
      <c r="E13" s="48">
        <f t="shared" si="1"/>
        <v>2</v>
      </c>
      <c r="F13" s="51">
        <f>'1.4'!J13</f>
        <v>9547219.8000000007</v>
      </c>
      <c r="G13" s="51">
        <f>(57052284.39+35682206+95000000+1360000+36863600+816800580+596852500+2143168100+7098125+3820000+114089400+272718393.75+244828753.13+285002471.63+246582800+10000+10000+10000+15000000+10867000+5533000+30134200+447495426.47+55810102+289800668.73+27303133+95745417+10000+3792941+67394400+10000+1096420779.06+4965588+3500000+28877940+7303677+63802060+44123824+15884688+56121471+149771618+758729596.98+2239051+200000+3426912+3500000+21357083+20324375+502372206+200000000+1500600+1011840+16112809+30882092+258946098.72)/1000</f>
        <v>9297219.8108599987</v>
      </c>
      <c r="H13" s="220">
        <f t="shared" si="0"/>
        <v>97.4</v>
      </c>
      <c r="I13" s="53" t="s">
        <v>236</v>
      </c>
      <c r="J13" s="53" t="s">
        <v>121</v>
      </c>
      <c r="K13" s="52" t="s">
        <v>260</v>
      </c>
      <c r="L13" s="52" t="s">
        <v>454</v>
      </c>
      <c r="M13" s="50" t="s">
        <v>111</v>
      </c>
      <c r="N13" s="198"/>
    </row>
    <row r="14" spans="1:14" ht="15" customHeight="1">
      <c r="A14" s="107" t="s">
        <v>7</v>
      </c>
      <c r="B14" s="50" t="s">
        <v>426</v>
      </c>
      <c r="C14" s="47">
        <f t="shared" si="2"/>
        <v>2</v>
      </c>
      <c r="D14" s="68"/>
      <c r="E14" s="48">
        <f t="shared" si="1"/>
        <v>2</v>
      </c>
      <c r="F14" s="51">
        <f>'1.4'!J14</f>
        <v>4435957.0999999996</v>
      </c>
      <c r="G14" s="51">
        <f>369971.8+26729.3+1592.3+206010.8+472298+44685.5+22526.3+1224.9+500+1111.8+1500+16141.3+3301.7+27338.2+196255.1+45733.8+7999.8+1178697.6+75000+37439.3+520770.7+10000+64629.8+186714.3+693300.9+3679.1+9000+150+6856+4867</f>
        <v>4236025.3</v>
      </c>
      <c r="H14" s="220">
        <f t="shared" si="0"/>
        <v>95.5</v>
      </c>
      <c r="I14" s="53" t="s">
        <v>236</v>
      </c>
      <c r="J14" s="53" t="s">
        <v>121</v>
      </c>
      <c r="K14" s="52" t="s">
        <v>272</v>
      </c>
      <c r="L14" s="52" t="s">
        <v>455</v>
      </c>
      <c r="M14" s="50" t="s">
        <v>111</v>
      </c>
    </row>
    <row r="15" spans="1:14" ht="15" customHeight="1">
      <c r="A15" s="107" t="s">
        <v>8</v>
      </c>
      <c r="B15" s="50" t="s">
        <v>426</v>
      </c>
      <c r="C15" s="47">
        <f t="shared" si="2"/>
        <v>2</v>
      </c>
      <c r="D15" s="68"/>
      <c r="E15" s="48">
        <f t="shared" si="1"/>
        <v>2</v>
      </c>
      <c r="F15" s="51">
        <f>'1.4'!J15</f>
        <v>9038902.0649999995</v>
      </c>
      <c r="G15" s="51">
        <f>(349210780+1400000+54090800+296413164+70244300+3902041+172282373+42278158+131032240+263161297+3971955+283222056+130012401+67271882+1576992462+22322788+77707782+13906531+134591762+3000000+5543004+27778454+514518241+306819311+399818690+71427953+20324388+273063052+24066633+105490882+2032414862+209947275+40035518)/1000</f>
        <v>7728263.0350000001</v>
      </c>
      <c r="H15" s="220">
        <f t="shared" si="0"/>
        <v>85.5</v>
      </c>
      <c r="I15" s="53" t="s">
        <v>236</v>
      </c>
      <c r="J15" s="53" t="s">
        <v>121</v>
      </c>
      <c r="K15" s="52" t="s">
        <v>262</v>
      </c>
      <c r="L15" s="52" t="s">
        <v>456</v>
      </c>
      <c r="M15" s="57" t="s">
        <v>111</v>
      </c>
    </row>
    <row r="16" spans="1:14" s="30" customFormat="1" ht="15" customHeight="1">
      <c r="A16" s="107" t="s">
        <v>9</v>
      </c>
      <c r="B16" s="50" t="s">
        <v>426</v>
      </c>
      <c r="C16" s="47">
        <f t="shared" si="2"/>
        <v>2</v>
      </c>
      <c r="D16" s="68"/>
      <c r="E16" s="48">
        <f t="shared" si="1"/>
        <v>2</v>
      </c>
      <c r="F16" s="51">
        <f>'1.4'!J16</f>
        <v>8008405.0508599998</v>
      </c>
      <c r="G16" s="51">
        <f>(17900000+126471041.45+468526081.58+191129252.18+14700000+3022357763.41-54209157.89+15554600+146216000+19696275.68+2962066263.4-38670204.27+200029100+15364000+660560146.85+147834526.31-172315.79)/1000</f>
        <v>7915353.3729099995</v>
      </c>
      <c r="H16" s="220">
        <f t="shared" si="0"/>
        <v>98.8</v>
      </c>
      <c r="I16" s="53" t="s">
        <v>236</v>
      </c>
      <c r="J16" s="53" t="s">
        <v>121</v>
      </c>
      <c r="K16" s="52" t="s">
        <v>263</v>
      </c>
      <c r="L16" s="52" t="s">
        <v>271</v>
      </c>
      <c r="M16" s="57" t="s">
        <v>111</v>
      </c>
      <c r="N16" s="198"/>
    </row>
    <row r="17" spans="1:14" s="30" customFormat="1" ht="15" customHeight="1">
      <c r="A17" s="107" t="s">
        <v>10</v>
      </c>
      <c r="B17" s="50" t="s">
        <v>426</v>
      </c>
      <c r="C17" s="47">
        <f t="shared" si="2"/>
        <v>2</v>
      </c>
      <c r="D17" s="68"/>
      <c r="E17" s="48">
        <f t="shared" si="1"/>
        <v>2</v>
      </c>
      <c r="F17" s="51">
        <f>'1.4'!J17</f>
        <v>144889045</v>
      </c>
      <c r="G17" s="144">
        <f>44109+3501+644113+58287+35118+4215+121928+65009+99415+19589+943+24498+21924+2942158+709826+83539+147074+29786+4230+13351321+1084035+4910157+2383710+14196+303459+1055419+25688+996250+55518+108627+5430+368659+1180264+310060+15380+20000+5672+3090+3416+26107+294141+8487828+27192+18794+256253+399237+2134+307677+106828+113637+125055+19592+642143+33435+1131381+441782+227884+1997289+640053+1242868+694292+1468795+80937+357143+323810+1215050+1289159+2802010+5594374+1444256+1000000+485760+127876+26435+682675+2741511+235000+4011129+76000+918080+600000+1320434+307385+2200000+394567+69940+4081907+300000+99270+1580374+830385+5460878+9542841+7469608+659926+104629+270930+103852+2002226+21882+275947+1728346+3283777+715365+13322717+6226181+202223+7420285+143797</f>
        <v>144114887</v>
      </c>
      <c r="H17" s="220">
        <f t="shared" si="0"/>
        <v>99.5</v>
      </c>
      <c r="I17" s="53" t="s">
        <v>236</v>
      </c>
      <c r="J17" s="53" t="s">
        <v>121</v>
      </c>
      <c r="K17" s="52" t="s">
        <v>457</v>
      </c>
      <c r="L17" s="52" t="s">
        <v>261</v>
      </c>
      <c r="M17" s="219" t="s">
        <v>111</v>
      </c>
      <c r="N17" s="198"/>
    </row>
    <row r="18" spans="1:14" ht="14" customHeight="1">
      <c r="A18" s="107" t="s">
        <v>11</v>
      </c>
      <c r="B18" s="50" t="s">
        <v>426</v>
      </c>
      <c r="C18" s="47">
        <f t="shared" si="2"/>
        <v>2</v>
      </c>
      <c r="D18" s="68">
        <v>0.5</v>
      </c>
      <c r="E18" s="48">
        <f t="shared" si="1"/>
        <v>1</v>
      </c>
      <c r="F18" s="51">
        <v>5343632.8000000007</v>
      </c>
      <c r="G18" s="51">
        <f>98627+347990+14759.9+33838.4+13032.2+3000+3468.7+1030000+681603.2+400000+280188.9+87515.4+188405.4+180000+57633.1+142739.2+18716+10000+31350.8+32342.5+14759.9+10000+168887.3+225595.5+803725.7+7000+30133.4+27736+20133.2+135522.5+3501+45378.9+62049.8+42614+85714.3</f>
        <v>5337962.2</v>
      </c>
      <c r="H18" s="220">
        <f t="shared" si="0"/>
        <v>99.9</v>
      </c>
      <c r="I18" s="53" t="s">
        <v>235</v>
      </c>
      <c r="J18" s="53" t="s">
        <v>121</v>
      </c>
      <c r="K18" s="52" t="s">
        <v>264</v>
      </c>
      <c r="L18" s="52" t="s">
        <v>458</v>
      </c>
      <c r="M18" s="57" t="s">
        <v>290</v>
      </c>
      <c r="N18" s="198" t="s">
        <v>111</v>
      </c>
    </row>
    <row r="19" spans="1:14" s="7" customFormat="1" ht="15" customHeight="1">
      <c r="A19" s="107" t="s">
        <v>12</v>
      </c>
      <c r="B19" s="50" t="s">
        <v>428</v>
      </c>
      <c r="C19" s="47">
        <f t="shared" si="2"/>
        <v>0</v>
      </c>
      <c r="D19" s="68"/>
      <c r="E19" s="48">
        <f t="shared" si="1"/>
        <v>0</v>
      </c>
      <c r="F19" s="51" t="s">
        <v>618</v>
      </c>
      <c r="G19" s="51">
        <f>(258482900+40000000+781633846+4131000+83809896.91+955311477.36+478529734.97+40978500+24277180.95+810424962.84+3334454.54+204545.46+535418807.76+81842695+50219452.8)/1000</f>
        <v>4148599.4545900002</v>
      </c>
      <c r="H19" s="220" t="s">
        <v>111</v>
      </c>
      <c r="I19" s="53" t="s">
        <v>617</v>
      </c>
      <c r="J19" s="53" t="s">
        <v>121</v>
      </c>
      <c r="K19" s="52" t="s">
        <v>265</v>
      </c>
      <c r="L19" s="52" t="s">
        <v>628</v>
      </c>
      <c r="M19" s="57" t="s">
        <v>619</v>
      </c>
      <c r="N19" s="217" t="s">
        <v>111</v>
      </c>
    </row>
    <row r="20" spans="1:14" ht="15" customHeight="1">
      <c r="A20" s="107" t="s">
        <v>13</v>
      </c>
      <c r="B20" s="50" t="s">
        <v>426</v>
      </c>
      <c r="C20" s="47">
        <f t="shared" si="2"/>
        <v>2</v>
      </c>
      <c r="D20" s="68"/>
      <c r="E20" s="48">
        <f t="shared" si="1"/>
        <v>2</v>
      </c>
      <c r="F20" s="51">
        <f>'1.4'!J20</f>
        <v>5266734.9000000004</v>
      </c>
      <c r="G20" s="51">
        <f>5252883686.5/1000</f>
        <v>5252883.6864999998</v>
      </c>
      <c r="H20" s="220">
        <f t="shared" si="0"/>
        <v>99.7</v>
      </c>
      <c r="I20" s="53" t="s">
        <v>236</v>
      </c>
      <c r="J20" s="53" t="s">
        <v>121</v>
      </c>
      <c r="K20" s="52" t="s">
        <v>459</v>
      </c>
      <c r="L20" s="52" t="s">
        <v>627</v>
      </c>
      <c r="M20" s="57" t="s">
        <v>111</v>
      </c>
    </row>
    <row r="21" spans="1:14" s="7" customFormat="1" ht="15" customHeight="1">
      <c r="A21" s="107" t="s">
        <v>14</v>
      </c>
      <c r="B21" s="50" t="s">
        <v>426</v>
      </c>
      <c r="C21" s="47">
        <f t="shared" si="2"/>
        <v>2</v>
      </c>
      <c r="D21" s="68"/>
      <c r="E21" s="48">
        <f t="shared" si="1"/>
        <v>2</v>
      </c>
      <c r="F21" s="51">
        <f>'1.4'!J21</f>
        <v>7074526.0999999996</v>
      </c>
      <c r="G21" s="51">
        <f>40+149762.3+136643.6+2669+12642.3+435427.7+73355+1259.1+1630.4+8021.3+602662.1+87581+21357+257.8+10420+186317+250775.7+299982.6+3436.8+713772.9+26053.3+572927.5+33500+92995.4+1092.3+1000+2497.5+19207.6+15744.4+21293.3+5257.1+17355.7+44290+109471.1+153878.5+330000+1027415.3+70948.6+231587.3+200000+180000+8235.6+21091.3+31000+22066.3+37961.3+22560.4+25000+258821.1+45000+15000+28252.5+3500+205335.4+56990.1</f>
        <v>6935342.4999999972</v>
      </c>
      <c r="H21" s="220">
        <f t="shared" si="0"/>
        <v>98</v>
      </c>
      <c r="I21" s="53" t="s">
        <v>236</v>
      </c>
      <c r="J21" s="53" t="s">
        <v>121</v>
      </c>
      <c r="K21" s="52" t="s">
        <v>208</v>
      </c>
      <c r="L21" s="57" t="s">
        <v>460</v>
      </c>
      <c r="M21" s="57" t="s">
        <v>111</v>
      </c>
      <c r="N21" s="198"/>
    </row>
    <row r="22" spans="1:14" s="30" customFormat="1" ht="15" customHeight="1">
      <c r="A22" s="107" t="s">
        <v>15</v>
      </c>
      <c r="B22" s="50" t="s">
        <v>427</v>
      </c>
      <c r="C22" s="47">
        <f t="shared" si="2"/>
        <v>1</v>
      </c>
      <c r="D22" s="68"/>
      <c r="E22" s="48">
        <f t="shared" si="1"/>
        <v>1</v>
      </c>
      <c r="F22" s="51">
        <f>'1.4'!J22</f>
        <v>8317556.5</v>
      </c>
      <c r="G22" s="144">
        <f>40000+242639.6+9327+250361+46589.8+45804.4+1310444.7+225405.4+85024.2+955408+7945.3+9551.8+21518+54927.1+77074+630724.1+345607.1+97175.2+4981.1</f>
        <v>4460507.8</v>
      </c>
      <c r="H22" s="220">
        <f t="shared" si="0"/>
        <v>53.6</v>
      </c>
      <c r="I22" s="53" t="s">
        <v>236</v>
      </c>
      <c r="J22" s="53" t="s">
        <v>121</v>
      </c>
      <c r="K22" s="52" t="s">
        <v>269</v>
      </c>
      <c r="L22" s="52" t="s">
        <v>461</v>
      </c>
      <c r="M22" s="57" t="s">
        <v>111</v>
      </c>
      <c r="N22" s="198"/>
    </row>
    <row r="23" spans="1:14" s="30" customFormat="1" ht="14.5" customHeight="1">
      <c r="A23" s="107" t="s">
        <v>16</v>
      </c>
      <c r="B23" s="50" t="s">
        <v>426</v>
      </c>
      <c r="C23" s="47">
        <f t="shared" si="2"/>
        <v>2</v>
      </c>
      <c r="D23" s="68">
        <v>0.5</v>
      </c>
      <c r="E23" s="48">
        <f t="shared" si="1"/>
        <v>1</v>
      </c>
      <c r="F23" s="51">
        <f>'1.4'!J23</f>
        <v>7901469.04904</v>
      </c>
      <c r="G23" s="51">
        <f>(24477900+159577236.79+1267397.26+752056542.55+11499041.1+110000000+17400350.84+249772030+6130424.68+22219315.07+549399980+80000000+328091200+80000000+400000000+6452900+268382252.34+70000000+50992191.78+429474578.11+15825210+43204000+11985161.57+492765353.86+543242728+100000000+63718493.15+38266849.32+438900870+129610619.15+20704931.5+231616979.17+108244844.02+10000000+1123287.67+11458333.33+114924800+249208300+72439200+117163494.05+301182175.22+3501301.44+117012097.4+408771041.67+316491766.4)/1000</f>
        <v>7578555.1774399998</v>
      </c>
      <c r="H23" s="220">
        <f t="shared" si="0"/>
        <v>95.9</v>
      </c>
      <c r="I23" s="53" t="s">
        <v>236</v>
      </c>
      <c r="J23" s="53" t="s">
        <v>122</v>
      </c>
      <c r="K23" s="52" t="s">
        <v>268</v>
      </c>
      <c r="L23" s="52" t="s">
        <v>462</v>
      </c>
      <c r="M23" s="57" t="s">
        <v>254</v>
      </c>
      <c r="N23" s="198" t="s">
        <v>111</v>
      </c>
    </row>
    <row r="24" spans="1:14" s="7" customFormat="1" ht="15" customHeight="1">
      <c r="A24" s="107" t="s">
        <v>17</v>
      </c>
      <c r="B24" s="50" t="s">
        <v>426</v>
      </c>
      <c r="C24" s="47">
        <f t="shared" si="2"/>
        <v>2</v>
      </c>
      <c r="D24" s="68"/>
      <c r="E24" s="48">
        <f t="shared" si="1"/>
        <v>2</v>
      </c>
      <c r="F24" s="51">
        <f>'1.4'!J24</f>
        <v>10756323.913000001</v>
      </c>
      <c r="G24" s="51">
        <f>10451203445/1000</f>
        <v>10451203.445</v>
      </c>
      <c r="H24" s="220">
        <f t="shared" si="0"/>
        <v>97.2</v>
      </c>
      <c r="I24" s="53" t="s">
        <v>236</v>
      </c>
      <c r="J24" s="53" t="s">
        <v>121</v>
      </c>
      <c r="K24" s="52" t="s">
        <v>269</v>
      </c>
      <c r="L24" s="52" t="s">
        <v>257</v>
      </c>
      <c r="M24" s="57" t="s">
        <v>111</v>
      </c>
      <c r="N24" s="198"/>
    </row>
    <row r="25" spans="1:14" ht="15" customHeight="1">
      <c r="A25" s="107" t="s">
        <v>545</v>
      </c>
      <c r="B25" s="46" t="s">
        <v>292</v>
      </c>
      <c r="C25" s="47">
        <f t="shared" si="2"/>
        <v>0</v>
      </c>
      <c r="D25" s="47"/>
      <c r="E25" s="145" t="s">
        <v>187</v>
      </c>
      <c r="F25" s="146" t="s">
        <v>111</v>
      </c>
      <c r="G25" s="146" t="s">
        <v>111</v>
      </c>
      <c r="H25" s="220" t="s">
        <v>111</v>
      </c>
      <c r="I25" s="57" t="s">
        <v>111</v>
      </c>
      <c r="J25" s="53" t="s">
        <v>111</v>
      </c>
      <c r="K25" s="57" t="s">
        <v>111</v>
      </c>
      <c r="L25" s="57" t="s">
        <v>111</v>
      </c>
      <c r="M25" s="57" t="s">
        <v>111</v>
      </c>
    </row>
    <row r="26" spans="1:14" s="30" customFormat="1" ht="15" customHeight="1">
      <c r="A26" s="120" t="s">
        <v>18</v>
      </c>
      <c r="B26" s="89"/>
      <c r="C26" s="89"/>
      <c r="D26" s="89"/>
      <c r="E26" s="89"/>
      <c r="F26" s="228"/>
      <c r="G26" s="228"/>
      <c r="H26" s="86"/>
      <c r="I26" s="89"/>
      <c r="J26" s="89"/>
      <c r="K26" s="148"/>
      <c r="L26" s="148"/>
      <c r="M26" s="149"/>
      <c r="N26" s="198"/>
    </row>
    <row r="27" spans="1:14" ht="15" customHeight="1">
      <c r="A27" s="107" t="s">
        <v>19</v>
      </c>
      <c r="B27" s="50" t="s">
        <v>426</v>
      </c>
      <c r="C27" s="47">
        <f t="shared" si="2"/>
        <v>2</v>
      </c>
      <c r="D27" s="68"/>
      <c r="E27" s="48">
        <f t="shared" ref="E27:E37" si="3">C27*(1-D27)</f>
        <v>2</v>
      </c>
      <c r="F27" s="51">
        <f>'1.4'!J27</f>
        <v>5579108.2000000002</v>
      </c>
      <c r="G27" s="51">
        <f>74819+403690.4+13838.38384+29326+1497385.4+32408.2+1784.9+227491.3+177584.7+8462.12121+267363.3+20122.3+50000+162294.34+158585.1+797096.6+8801.3+35162.2+72448.9+80517.8+14500+23338.3+7200+57751.9+4725+120207+2129.9+1000000+20023.4+24806.2+41473.5+1800+2326.7+3300+21357.1+45971.6+30000+10500+1310+4000</f>
        <v>5555902.8450499997</v>
      </c>
      <c r="H27" s="220">
        <f t="shared" ref="H27:H35" si="4">ROUND(G27/F27*100,1)</f>
        <v>99.6</v>
      </c>
      <c r="I27" s="53" t="s">
        <v>236</v>
      </c>
      <c r="J27" s="53" t="s">
        <v>121</v>
      </c>
      <c r="K27" s="52" t="s">
        <v>258</v>
      </c>
      <c r="L27" s="57" t="s">
        <v>463</v>
      </c>
      <c r="M27" s="57" t="s">
        <v>111</v>
      </c>
    </row>
    <row r="28" spans="1:14" s="7" customFormat="1" ht="15" customHeight="1">
      <c r="A28" s="107" t="s">
        <v>20</v>
      </c>
      <c r="B28" s="50" t="s">
        <v>426</v>
      </c>
      <c r="C28" s="47">
        <f t="shared" si="2"/>
        <v>2</v>
      </c>
      <c r="D28" s="68"/>
      <c r="E28" s="48">
        <f t="shared" si="3"/>
        <v>2</v>
      </c>
      <c r="F28" s="51">
        <f>'1.4'!J28</f>
        <v>9034133.4000000004</v>
      </c>
      <c r="G28" s="51">
        <f>51703+818070.7+1203953.8+38998.6+637502.9+862961.1+571219+48735.6+5929.3+62648.8+181528.8+390000+39223.8+6700+10131.8+6919.2+261677.4+79570.4+71077.8+590992.8+43852.2+1130224.7+389891.3+112000+32015+596503.5+90886+113233.7+207936.3+1500</f>
        <v>8657587.5</v>
      </c>
      <c r="H28" s="220">
        <f t="shared" si="4"/>
        <v>95.8</v>
      </c>
      <c r="I28" s="53" t="s">
        <v>236</v>
      </c>
      <c r="J28" s="53" t="s">
        <v>121</v>
      </c>
      <c r="K28" s="52" t="s">
        <v>273</v>
      </c>
      <c r="L28" s="52" t="s">
        <v>279</v>
      </c>
      <c r="M28" s="57" t="s">
        <v>111</v>
      </c>
      <c r="N28" s="198"/>
    </row>
    <row r="29" spans="1:14" ht="15" customHeight="1">
      <c r="A29" s="107" t="s">
        <v>21</v>
      </c>
      <c r="B29" s="50" t="s">
        <v>426</v>
      </c>
      <c r="C29" s="47">
        <f t="shared" si="2"/>
        <v>2</v>
      </c>
      <c r="D29" s="68"/>
      <c r="E29" s="48">
        <f t="shared" si="3"/>
        <v>2</v>
      </c>
      <c r="F29" s="51">
        <f>'1.4'!J29</f>
        <v>13250562.70383</v>
      </c>
      <c r="G29" s="51">
        <f>(6134149066+5244777.78+3500000.91+760226002.98+635100+6016724.4+1981500+481920663.68+5528534+3733322799.48+79891029+40196060+24001444+12444800)/1000</f>
        <v>11289058.50223</v>
      </c>
      <c r="H29" s="220">
        <f t="shared" si="4"/>
        <v>85.2</v>
      </c>
      <c r="I29" s="53" t="s">
        <v>236</v>
      </c>
      <c r="J29" s="53" t="s">
        <v>121</v>
      </c>
      <c r="K29" s="52" t="s">
        <v>262</v>
      </c>
      <c r="L29" s="52" t="s">
        <v>464</v>
      </c>
      <c r="M29" s="57" t="s">
        <v>111</v>
      </c>
    </row>
    <row r="30" spans="1:14" ht="15" customHeight="1">
      <c r="A30" s="107" t="s">
        <v>22</v>
      </c>
      <c r="B30" s="50" t="s">
        <v>426</v>
      </c>
      <c r="C30" s="47">
        <f t="shared" si="2"/>
        <v>2</v>
      </c>
      <c r="D30" s="68"/>
      <c r="E30" s="48">
        <f t="shared" si="3"/>
        <v>2</v>
      </c>
      <c r="F30" s="51">
        <f>'1.4'!J30</f>
        <v>21112480.300000001</v>
      </c>
      <c r="G30" s="51">
        <f>351098.9+147531.9+10400+24048.7+796224.8+249473.7+93796.3+19629.5+169400.6+8388.6+3090.4+131071.8+21001.4+15054.8+397938.8+115520.8+123112.6+186770.4+1242.7+63229.6+52082.3+37962+649350.7+24889.4+10000+150347+101298.7+1200+26400+6094.6+26487.5+3300+1172716.6+71789.8+3164616.6+616000+85840.3+89699.4+1000+760200+119567.5+44583.3+104000+64397.6+6896.6+35793.3+559601+3889563.7+422805.4+20590+21000+11038.2+38961+32600+170391.4+223119.2+271409.2+225000+1473603.3+36124.1+10500.4+32148.8+3400+21266+1400+8694.5+63741.4+5946.2+216830.6+102371+9088.6+19908+21000+5988.1+51995.4+35581+1362538.1+133532.6+441120.9+195250+79212+60259.7+11401.6+17871.6</f>
        <v>20661392.500000007</v>
      </c>
      <c r="H30" s="220">
        <f t="shared" si="4"/>
        <v>97.9</v>
      </c>
      <c r="I30" s="53" t="s">
        <v>236</v>
      </c>
      <c r="J30" s="53" t="s">
        <v>121</v>
      </c>
      <c r="K30" s="52" t="s">
        <v>265</v>
      </c>
      <c r="L30" s="52" t="s">
        <v>261</v>
      </c>
      <c r="M30" s="150" t="s">
        <v>111</v>
      </c>
    </row>
    <row r="31" spans="1:14" ht="15" customHeight="1">
      <c r="A31" s="107" t="s">
        <v>23</v>
      </c>
      <c r="B31" s="50" t="s">
        <v>428</v>
      </c>
      <c r="C31" s="47">
        <f t="shared" si="2"/>
        <v>0</v>
      </c>
      <c r="D31" s="68"/>
      <c r="E31" s="48">
        <f t="shared" si="3"/>
        <v>0</v>
      </c>
      <c r="F31" s="51" t="s">
        <v>618</v>
      </c>
      <c r="G31" s="51">
        <f>8862561.768</f>
        <v>8862561.7679999992</v>
      </c>
      <c r="H31" s="220" t="s">
        <v>111</v>
      </c>
      <c r="I31" s="53" t="s">
        <v>617</v>
      </c>
      <c r="J31" s="53" t="s">
        <v>121</v>
      </c>
      <c r="K31" s="57" t="s">
        <v>266</v>
      </c>
      <c r="L31" s="52" t="s">
        <v>277</v>
      </c>
      <c r="M31" s="57" t="s">
        <v>620</v>
      </c>
      <c r="N31" s="198" t="s">
        <v>111</v>
      </c>
    </row>
    <row r="32" spans="1:14" ht="15" customHeight="1">
      <c r="A32" s="107" t="s">
        <v>24</v>
      </c>
      <c r="B32" s="50" t="s">
        <v>428</v>
      </c>
      <c r="C32" s="47">
        <f t="shared" si="2"/>
        <v>0</v>
      </c>
      <c r="D32" s="68"/>
      <c r="E32" s="48">
        <f t="shared" si="3"/>
        <v>0</v>
      </c>
      <c r="F32" s="51">
        <f>'1.4'!J32</f>
        <v>13751129</v>
      </c>
      <c r="G32" s="51">
        <f>69649.8+209678.6+27058.5+84261.8+94135.4+20622.5+7087.6+582.3+55203.6+106951.4+18592.8+300000+207166.8+200000+144055.1+32490+100000+167344+8454+1734+2085.1+322795+11250+83962.2+757738.9+80000+1206.2+34194.4+4942.2+17657+3000+36400+17400+696.5+479401.9+93335.5+250000+210000+290655+28839.6+9035+25000</f>
        <v>4614662.7</v>
      </c>
      <c r="H32" s="220">
        <f t="shared" si="4"/>
        <v>33.6</v>
      </c>
      <c r="I32" s="53" t="s">
        <v>236</v>
      </c>
      <c r="J32" s="53" t="s">
        <v>121</v>
      </c>
      <c r="K32" s="52" t="s">
        <v>269</v>
      </c>
      <c r="L32" s="52" t="s">
        <v>272</v>
      </c>
      <c r="M32" s="57" t="s">
        <v>256</v>
      </c>
      <c r="N32" s="198" t="s">
        <v>111</v>
      </c>
    </row>
    <row r="33" spans="1:14" ht="15" customHeight="1">
      <c r="A33" s="107" t="s">
        <v>25</v>
      </c>
      <c r="B33" s="50" t="s">
        <v>426</v>
      </c>
      <c r="C33" s="47">
        <f t="shared" si="2"/>
        <v>2</v>
      </c>
      <c r="D33" s="68">
        <v>0.5</v>
      </c>
      <c r="E33" s="48">
        <f t="shared" si="3"/>
        <v>1</v>
      </c>
      <c r="F33" s="51">
        <f>'1.4'!J33</f>
        <v>12988434.6</v>
      </c>
      <c r="G33" s="163">
        <v>11674186.925580001</v>
      </c>
      <c r="H33" s="220">
        <f t="shared" si="4"/>
        <v>89.9</v>
      </c>
      <c r="I33" s="53" t="s">
        <v>236</v>
      </c>
      <c r="J33" s="53" t="s">
        <v>122</v>
      </c>
      <c r="K33" s="52" t="s">
        <v>465</v>
      </c>
      <c r="L33" s="52" t="s">
        <v>279</v>
      </c>
      <c r="M33" s="57" t="s">
        <v>656</v>
      </c>
      <c r="N33" s="198" t="s">
        <v>111</v>
      </c>
    </row>
    <row r="34" spans="1:14" ht="15" customHeight="1">
      <c r="A34" s="107" t="s">
        <v>26</v>
      </c>
      <c r="B34" s="50" t="s">
        <v>426</v>
      </c>
      <c r="C34" s="47">
        <f t="shared" si="2"/>
        <v>2</v>
      </c>
      <c r="D34" s="68"/>
      <c r="E34" s="48">
        <f t="shared" si="3"/>
        <v>2</v>
      </c>
      <c r="F34" s="51">
        <f>'1.4'!J34</f>
        <v>7851039.9063900001</v>
      </c>
      <c r="G34" s="51">
        <f>961670.2+26718.3+18000+71895.7+935.4+14395.6+394718+1889159.88701+157751.55+694714+12000+97827.9+269667+7663.7+44918.1+600583.5+340087.671+144678.41289+439654.25+97883.77198+3025.06547+472.1+5776.3956+7217.32+96296.3+140187.5+3454.6+457882.423+421236.85+12563.7+48390.1+40086+35489.86+1414+83930.4+20004.57144</f>
        <v>7662350.1283900002</v>
      </c>
      <c r="H34" s="220">
        <f t="shared" si="4"/>
        <v>97.6</v>
      </c>
      <c r="I34" s="53" t="s">
        <v>236</v>
      </c>
      <c r="J34" s="53" t="s">
        <v>121</v>
      </c>
      <c r="K34" s="52" t="s">
        <v>274</v>
      </c>
      <c r="L34" s="52" t="s">
        <v>272</v>
      </c>
      <c r="M34" s="57" t="s">
        <v>111</v>
      </c>
    </row>
    <row r="35" spans="1:14" ht="15" customHeight="1">
      <c r="A35" s="107" t="s">
        <v>27</v>
      </c>
      <c r="B35" s="50" t="s">
        <v>426</v>
      </c>
      <c r="C35" s="47">
        <f t="shared" si="2"/>
        <v>2</v>
      </c>
      <c r="D35" s="68"/>
      <c r="E35" s="48">
        <f t="shared" si="3"/>
        <v>2</v>
      </c>
      <c r="F35" s="51">
        <f>'1.4'!J35</f>
        <v>7129749</v>
      </c>
      <c r="G35" s="51">
        <f>6585+325005+420909+490000+237898+195220+130260+10125+349012+1143+600+3105+1582+3300+1200+1150+8100+2000+5147+500+110852+41493+19808+6946+6215+9309+5352+38860+2000+2206+12012+7206+3482+1960535+12500+96836+3793+16849+1100+5214+5300+2886+70592+161827+2789+3000+1975+917441+5500+20000+10110+1800+5524+43531+14856+359569+307762+15072+5460+11600+180146+4400+226457+2287+130853</f>
        <v>7066146</v>
      </c>
      <c r="H35" s="220">
        <f t="shared" si="4"/>
        <v>99.1</v>
      </c>
      <c r="I35" s="53" t="s">
        <v>236</v>
      </c>
      <c r="J35" s="53" t="s">
        <v>121</v>
      </c>
      <c r="K35" s="52" t="s">
        <v>275</v>
      </c>
      <c r="L35" s="52" t="s">
        <v>278</v>
      </c>
      <c r="M35" s="57" t="s">
        <v>111</v>
      </c>
    </row>
    <row r="36" spans="1:14" ht="15" customHeight="1">
      <c r="A36" s="107" t="s">
        <v>546</v>
      </c>
      <c r="B36" s="46" t="s">
        <v>292</v>
      </c>
      <c r="C36" s="47">
        <f t="shared" si="2"/>
        <v>0</v>
      </c>
      <c r="D36" s="47"/>
      <c r="E36" s="145" t="s">
        <v>187</v>
      </c>
      <c r="F36" s="146" t="s">
        <v>111</v>
      </c>
      <c r="G36" s="146" t="s">
        <v>111</v>
      </c>
      <c r="H36" s="220" t="s">
        <v>111</v>
      </c>
      <c r="I36" s="57" t="s">
        <v>111</v>
      </c>
      <c r="J36" s="57" t="s">
        <v>111</v>
      </c>
      <c r="K36" s="57" t="s">
        <v>111</v>
      </c>
      <c r="L36" s="57" t="s">
        <v>111</v>
      </c>
      <c r="M36" s="57" t="s">
        <v>111</v>
      </c>
    </row>
    <row r="37" spans="1:14" ht="15" customHeight="1">
      <c r="A37" s="107" t="s">
        <v>28</v>
      </c>
      <c r="B37" s="50" t="s">
        <v>426</v>
      </c>
      <c r="C37" s="47">
        <f t="shared" si="2"/>
        <v>2</v>
      </c>
      <c r="D37" s="68"/>
      <c r="E37" s="48">
        <f t="shared" si="3"/>
        <v>2</v>
      </c>
      <c r="F37" s="51">
        <f>'1.4'!J37</f>
        <v>854603.2</v>
      </c>
      <c r="G37" s="51">
        <v>854603.2</v>
      </c>
      <c r="H37" s="220">
        <f>ROUND(G37/F37*100,1)</f>
        <v>100</v>
      </c>
      <c r="I37" s="53" t="s">
        <v>236</v>
      </c>
      <c r="J37" s="53" t="s">
        <v>121</v>
      </c>
      <c r="K37" s="52" t="s">
        <v>276</v>
      </c>
      <c r="L37" s="52" t="s">
        <v>267</v>
      </c>
      <c r="M37" s="57" t="s">
        <v>111</v>
      </c>
    </row>
    <row r="38" spans="1:14" s="30" customFormat="1" ht="15" customHeight="1">
      <c r="A38" s="120" t="s">
        <v>29</v>
      </c>
      <c r="B38" s="89"/>
      <c r="C38" s="89"/>
      <c r="D38" s="89"/>
      <c r="E38" s="89"/>
      <c r="F38" s="228"/>
      <c r="G38" s="228"/>
      <c r="H38" s="86"/>
      <c r="I38" s="147"/>
      <c r="J38" s="147"/>
      <c r="K38" s="148"/>
      <c r="L38" s="148"/>
      <c r="M38" s="149"/>
      <c r="N38" s="198"/>
    </row>
    <row r="39" spans="1:14" s="33" customFormat="1" ht="15" customHeight="1">
      <c r="A39" s="107" t="s">
        <v>30</v>
      </c>
      <c r="B39" s="50" t="s">
        <v>426</v>
      </c>
      <c r="C39" s="47">
        <f t="shared" si="2"/>
        <v>2</v>
      </c>
      <c r="D39" s="68"/>
      <c r="E39" s="48">
        <f t="shared" ref="E39:E45" si="5">C39*(1-D39)</f>
        <v>2</v>
      </c>
      <c r="F39" s="51">
        <v>5820431.5999999996</v>
      </c>
      <c r="G39" s="51">
        <v>5820431.5999999996</v>
      </c>
      <c r="H39" s="220">
        <f t="shared" ref="H39:H45" si="6">ROUND(G39/F39*100,1)</f>
        <v>100</v>
      </c>
      <c r="I39" s="53" t="s">
        <v>236</v>
      </c>
      <c r="J39" s="53" t="s">
        <v>121</v>
      </c>
      <c r="K39" s="52" t="s">
        <v>662</v>
      </c>
      <c r="L39" s="52" t="s">
        <v>281</v>
      </c>
      <c r="M39" s="57" t="s">
        <v>111</v>
      </c>
      <c r="N39" s="198" t="s">
        <v>111</v>
      </c>
    </row>
    <row r="40" spans="1:14" s="30" customFormat="1" ht="15" customHeight="1">
      <c r="A40" s="107" t="s">
        <v>31</v>
      </c>
      <c r="B40" s="50" t="s">
        <v>426</v>
      </c>
      <c r="C40" s="47">
        <f t="shared" si="2"/>
        <v>2</v>
      </c>
      <c r="D40" s="68"/>
      <c r="E40" s="48">
        <f t="shared" si="5"/>
        <v>2</v>
      </c>
      <c r="F40" s="51">
        <f>'1.4'!J40</f>
        <v>4491222.0999999996</v>
      </c>
      <c r="G40" s="51">
        <f>5519.1+21810.9+171791.1+18909.1+10113.9+1819956.9+500+7000+446959.8+102040.8+237650+64874.7+45486.9+8506.9+226718.7+1908.4+825098+379715.7+9918.5</f>
        <v>4404479.3999999994</v>
      </c>
      <c r="H40" s="220">
        <f t="shared" si="6"/>
        <v>98.1</v>
      </c>
      <c r="I40" s="53" t="s">
        <v>236</v>
      </c>
      <c r="J40" s="53" t="s">
        <v>121</v>
      </c>
      <c r="K40" s="52" t="s">
        <v>279</v>
      </c>
      <c r="L40" s="52" t="s">
        <v>466</v>
      </c>
      <c r="M40" s="57" t="s">
        <v>111</v>
      </c>
      <c r="N40" s="198"/>
    </row>
    <row r="41" spans="1:14" s="30" customFormat="1" ht="15" customHeight="1">
      <c r="A41" s="107" t="s">
        <v>87</v>
      </c>
      <c r="B41" s="50" t="s">
        <v>426</v>
      </c>
      <c r="C41" s="47">
        <f t="shared" si="2"/>
        <v>2</v>
      </c>
      <c r="D41" s="68"/>
      <c r="E41" s="48">
        <f t="shared" si="5"/>
        <v>2</v>
      </c>
      <c r="F41" s="51">
        <f>'1.4'!J41</f>
        <v>10443654.311479999</v>
      </c>
      <c r="G41" s="51">
        <f>(5340925339+23320162+72276948.05+133086489+142413875+18997879+525358080.81+167282768.22+265719800.75+23167510.66+1179944912.71+344362421.08+27879899+118091108.5+5358842.11+21209263.16+35008315.79+11671105.8+2233620.98+49601052.64+2173536+2993558.4+20894637.63+290406107.03+82044207.51+1000000+5943636.36+69886187.82+2800000+747074073.5+950631.58+68421052.63+32537979.8+21935757.58+37497596.5+216248166+108943636.36+87590000+52062365.52+48452766)/1000</f>
        <v>10407765.290479999</v>
      </c>
      <c r="H41" s="220">
        <f t="shared" si="6"/>
        <v>99.7</v>
      </c>
      <c r="I41" s="53" t="s">
        <v>236</v>
      </c>
      <c r="J41" s="53" t="s">
        <v>121</v>
      </c>
      <c r="K41" s="52" t="s">
        <v>280</v>
      </c>
      <c r="L41" s="52" t="s">
        <v>280</v>
      </c>
      <c r="M41" s="57" t="s">
        <v>111</v>
      </c>
      <c r="N41" s="198"/>
    </row>
    <row r="42" spans="1:14" s="30" customFormat="1" ht="15" customHeight="1">
      <c r="A42" s="107" t="s">
        <v>32</v>
      </c>
      <c r="B42" s="50" t="s">
        <v>426</v>
      </c>
      <c r="C42" s="47">
        <f t="shared" si="2"/>
        <v>2</v>
      </c>
      <c r="D42" s="68"/>
      <c r="E42" s="48">
        <f t="shared" si="5"/>
        <v>2</v>
      </c>
      <c r="F42" s="51">
        <f>'1.4'!J42</f>
        <v>85031907.700000003</v>
      </c>
      <c r="G42" s="144">
        <f>29917.3+3853053.2+313151+163101.7+954636.6+63496+1713338.4+12917.6+791987.3+10005848.5+874322.1+203212.5+30880500+24610.2+21788.9+28623+5000+736.2+250107.6+1866.8+38543+2159.7+100+41078.5+15708.3+27883.3+53474.7+129738.6+60643.7+2130663.2+4185+71712.9+40000+129229.2+70471.8+65884.2+400000+1754217.3+2932259.2+43653.2+14222.4+510+2890+145852.7+411375+450000+17890.3+881196+584135.7+1650602.6+71747.1+299741.3+44500+31734+13621377.6+33037.5+212504.7+100000+142709.5+151859.2+356745.8+629589+7216+75200+2492241.5+99833.7+18192.8+25782.7+28000+112315.2+333515+282000+380103.6+3007457.1+66623.3+17371.1+20963.6</f>
        <v>85024856.700000003</v>
      </c>
      <c r="H42" s="220">
        <f t="shared" si="6"/>
        <v>100</v>
      </c>
      <c r="I42" s="53" t="s">
        <v>236</v>
      </c>
      <c r="J42" s="53" t="s">
        <v>121</v>
      </c>
      <c r="K42" s="57" t="s">
        <v>269</v>
      </c>
      <c r="L42" s="57" t="s">
        <v>257</v>
      </c>
      <c r="M42" s="57" t="s">
        <v>111</v>
      </c>
      <c r="N42" s="198"/>
    </row>
    <row r="43" spans="1:14" ht="15" customHeight="1">
      <c r="A43" s="107" t="s">
        <v>33</v>
      </c>
      <c r="B43" s="50" t="s">
        <v>426</v>
      </c>
      <c r="C43" s="47">
        <f t="shared" si="2"/>
        <v>2</v>
      </c>
      <c r="D43" s="68"/>
      <c r="E43" s="48">
        <f t="shared" si="5"/>
        <v>2</v>
      </c>
      <c r="F43" s="51">
        <f>'1.4'!J43</f>
        <v>5797316.8999999994</v>
      </c>
      <c r="G43" s="51">
        <f>5643324.2</f>
        <v>5643324.2000000002</v>
      </c>
      <c r="H43" s="220">
        <f t="shared" si="6"/>
        <v>97.3</v>
      </c>
      <c r="I43" s="53" t="s">
        <v>236</v>
      </c>
      <c r="J43" s="53" t="s">
        <v>121</v>
      </c>
      <c r="K43" s="53" t="s">
        <v>259</v>
      </c>
      <c r="L43" s="52" t="s">
        <v>277</v>
      </c>
      <c r="M43" s="57" t="s">
        <v>111</v>
      </c>
      <c r="N43" s="218"/>
    </row>
    <row r="44" spans="1:14" ht="15" customHeight="1">
      <c r="A44" s="107" t="s">
        <v>34</v>
      </c>
      <c r="B44" s="50" t="s">
        <v>426</v>
      </c>
      <c r="C44" s="47">
        <f t="shared" si="2"/>
        <v>2</v>
      </c>
      <c r="D44" s="68"/>
      <c r="E44" s="48">
        <f t="shared" si="5"/>
        <v>2</v>
      </c>
      <c r="F44" s="51">
        <v>25438523.899999999</v>
      </c>
      <c r="G44" s="51">
        <f>170400+2271807+1112998.5+329000+274651.7+635256.4+2301138.6+14574.8+5620.1+143865+34000+295000+81000+47000+460000+98594.6+107367.2+1132529.2+19627.3+13542.3+1733995+51218.3+805000+331187+21707.6+16577.1+24000+423758.4+391422.4+7267.6+2142850.6+168245+1621880.3+58000+68592.3+20000+1789931+684079+555921.1+735231.8+460959.5+973191.6+27000+477012.1+211434.5+9696.6+135865+900000+50000+165000</f>
        <v>24608996.500000007</v>
      </c>
      <c r="H44" s="220">
        <f t="shared" si="6"/>
        <v>96.7</v>
      </c>
      <c r="I44" s="53" t="s">
        <v>645</v>
      </c>
      <c r="J44" s="53" t="s">
        <v>121</v>
      </c>
      <c r="K44" s="57" t="s">
        <v>467</v>
      </c>
      <c r="L44" s="52" t="s">
        <v>468</v>
      </c>
      <c r="M44" s="57" t="s">
        <v>644</v>
      </c>
      <c r="N44" s="198" t="s">
        <v>111</v>
      </c>
    </row>
    <row r="45" spans="1:14" s="30" customFormat="1" ht="15" customHeight="1">
      <c r="A45" s="107" t="s">
        <v>35</v>
      </c>
      <c r="B45" s="50" t="s">
        <v>426</v>
      </c>
      <c r="C45" s="47">
        <f t="shared" si="2"/>
        <v>2</v>
      </c>
      <c r="D45" s="68"/>
      <c r="E45" s="48">
        <f t="shared" si="5"/>
        <v>2</v>
      </c>
      <c r="F45" s="51">
        <f>'1.4'!J45</f>
        <v>41191658.700000003</v>
      </c>
      <c r="G45" s="51">
        <f>10635.4+249078.4+1173341.4+6424549+2070127.8+5624072.6+9988013.5+12943858.2+467.8+213724.9+4926.4+829521.8+19755.9+12000+277029.6+4316.2+1069344.1+121382+131629.2+23884.5</f>
        <v>41191658.699999996</v>
      </c>
      <c r="H45" s="220">
        <f t="shared" si="6"/>
        <v>100</v>
      </c>
      <c r="I45" s="53" t="s">
        <v>236</v>
      </c>
      <c r="J45" s="53" t="s">
        <v>121</v>
      </c>
      <c r="K45" s="57" t="s">
        <v>259</v>
      </c>
      <c r="L45" s="52" t="s">
        <v>469</v>
      </c>
      <c r="M45" s="57" t="s">
        <v>111</v>
      </c>
      <c r="N45" s="198"/>
    </row>
    <row r="46" spans="1:14" s="30" customFormat="1" ht="15" customHeight="1">
      <c r="A46" s="107" t="s">
        <v>222</v>
      </c>
      <c r="B46" s="46" t="s">
        <v>292</v>
      </c>
      <c r="C46" s="47">
        <f t="shared" si="2"/>
        <v>0</v>
      </c>
      <c r="D46" s="47"/>
      <c r="E46" s="145" t="s">
        <v>187</v>
      </c>
      <c r="F46" s="51" t="str">
        <f>'1.4'!J46</f>
        <v>-</v>
      </c>
      <c r="G46" s="146" t="s">
        <v>111</v>
      </c>
      <c r="H46" s="220" t="s">
        <v>111</v>
      </c>
      <c r="I46" s="57" t="s">
        <v>111</v>
      </c>
      <c r="J46" s="57" t="s">
        <v>111</v>
      </c>
      <c r="K46" s="57" t="s">
        <v>111</v>
      </c>
      <c r="L46" s="57" t="s">
        <v>111</v>
      </c>
      <c r="M46" s="57" t="s">
        <v>111</v>
      </c>
      <c r="N46" s="198"/>
    </row>
    <row r="47" spans="1:14" s="30" customFormat="1" ht="15" customHeight="1">
      <c r="A47" s="120" t="s">
        <v>36</v>
      </c>
      <c r="B47" s="89"/>
      <c r="C47" s="89"/>
      <c r="D47" s="89"/>
      <c r="E47" s="89"/>
      <c r="F47" s="228"/>
      <c r="G47" s="228"/>
      <c r="H47" s="86"/>
      <c r="I47" s="89"/>
      <c r="J47" s="147"/>
      <c r="K47" s="148"/>
      <c r="L47" s="148"/>
      <c r="M47" s="149"/>
      <c r="N47" s="198"/>
    </row>
    <row r="48" spans="1:14" s="30" customFormat="1" ht="15" customHeight="1">
      <c r="A48" s="107" t="s">
        <v>37</v>
      </c>
      <c r="B48" s="50" t="s">
        <v>428</v>
      </c>
      <c r="C48" s="47">
        <f t="shared" si="2"/>
        <v>0</v>
      </c>
      <c r="D48" s="68"/>
      <c r="E48" s="48">
        <f t="shared" ref="E48:E54" si="7">C48*(1-D48)</f>
        <v>0</v>
      </c>
      <c r="F48" s="51">
        <f>'1.4'!J48</f>
        <v>16622894.232000001</v>
      </c>
      <c r="G48" s="51" t="s">
        <v>618</v>
      </c>
      <c r="H48" s="220" t="s">
        <v>111</v>
      </c>
      <c r="I48" s="151" t="s">
        <v>236</v>
      </c>
      <c r="J48" s="151" t="s">
        <v>122</v>
      </c>
      <c r="K48" s="52" t="s">
        <v>470</v>
      </c>
      <c r="L48" s="52" t="s">
        <v>471</v>
      </c>
      <c r="M48" s="50" t="s">
        <v>633</v>
      </c>
      <c r="N48" s="198" t="s">
        <v>111</v>
      </c>
    </row>
    <row r="49" spans="1:14" ht="15" customHeight="1">
      <c r="A49" s="107" t="s">
        <v>38</v>
      </c>
      <c r="B49" s="50" t="s">
        <v>427</v>
      </c>
      <c r="C49" s="47">
        <f t="shared" si="2"/>
        <v>1</v>
      </c>
      <c r="D49" s="68">
        <v>0.5</v>
      </c>
      <c r="E49" s="48">
        <f t="shared" si="7"/>
        <v>0.5</v>
      </c>
      <c r="F49" s="51">
        <f>'1.4'!J49</f>
        <v>59439.3</v>
      </c>
      <c r="G49" s="51">
        <f>13180.3+18364.1+5000</f>
        <v>36544.399999999994</v>
      </c>
      <c r="H49" s="220">
        <f t="shared" ref="H49:H54" si="8">ROUND(G49/F49*100,1)</f>
        <v>61.5</v>
      </c>
      <c r="I49" s="53" t="s">
        <v>648</v>
      </c>
      <c r="J49" s="151" t="s">
        <v>122</v>
      </c>
      <c r="K49" s="52" t="s">
        <v>649</v>
      </c>
      <c r="L49" s="52" t="s">
        <v>472</v>
      </c>
      <c r="M49" s="50" t="s">
        <v>650</v>
      </c>
      <c r="N49" s="198" t="s">
        <v>111</v>
      </c>
    </row>
    <row r="50" spans="1:14" s="30" customFormat="1" ht="15" customHeight="1">
      <c r="A50" s="107" t="s">
        <v>39</v>
      </c>
      <c r="B50" s="50" t="s">
        <v>427</v>
      </c>
      <c r="C50" s="47">
        <f t="shared" si="2"/>
        <v>1</v>
      </c>
      <c r="D50" s="68"/>
      <c r="E50" s="48">
        <f t="shared" si="7"/>
        <v>1</v>
      </c>
      <c r="F50" s="51">
        <f>'1.4'!J50</f>
        <v>4300117.8</v>
      </c>
      <c r="G50" s="51">
        <v>3046660.41</v>
      </c>
      <c r="H50" s="220">
        <f t="shared" si="8"/>
        <v>70.900000000000006</v>
      </c>
      <c r="I50" s="53" t="s">
        <v>236</v>
      </c>
      <c r="J50" s="53" t="s">
        <v>121</v>
      </c>
      <c r="K50" s="52" t="s">
        <v>274</v>
      </c>
      <c r="L50" s="52" t="s">
        <v>473</v>
      </c>
      <c r="M50" s="57" t="s">
        <v>634</v>
      </c>
      <c r="N50" s="198" t="s">
        <v>111</v>
      </c>
    </row>
    <row r="51" spans="1:14" ht="15" customHeight="1">
      <c r="A51" s="107" t="s">
        <v>40</v>
      </c>
      <c r="B51" s="50" t="s">
        <v>428</v>
      </c>
      <c r="C51" s="47">
        <f t="shared" si="2"/>
        <v>0</v>
      </c>
      <c r="D51" s="68"/>
      <c r="E51" s="48">
        <f t="shared" si="7"/>
        <v>0</v>
      </c>
      <c r="F51" s="51" t="s">
        <v>618</v>
      </c>
      <c r="G51" s="51">
        <f>292483.9+318809.5</f>
        <v>611293.4</v>
      </c>
      <c r="H51" s="220" t="s">
        <v>111</v>
      </c>
      <c r="I51" s="53" t="s">
        <v>617</v>
      </c>
      <c r="J51" s="53" t="s">
        <v>121</v>
      </c>
      <c r="K51" s="52" t="s">
        <v>208</v>
      </c>
      <c r="L51" s="52" t="s">
        <v>267</v>
      </c>
      <c r="M51" s="57" t="s">
        <v>620</v>
      </c>
      <c r="N51" s="198" t="s">
        <v>111</v>
      </c>
    </row>
    <row r="52" spans="1:14" s="30" customFormat="1" ht="15" customHeight="1">
      <c r="A52" s="107" t="s">
        <v>547</v>
      </c>
      <c r="B52" s="50" t="s">
        <v>428</v>
      </c>
      <c r="C52" s="47">
        <f t="shared" si="2"/>
        <v>0</v>
      </c>
      <c r="D52" s="68"/>
      <c r="E52" s="48">
        <f t="shared" si="7"/>
        <v>0</v>
      </c>
      <c r="F52" s="51">
        <v>1214029.0999999999</v>
      </c>
      <c r="G52" s="51">
        <f>269793.5+2128.9+5251.7+50806.8+6327+181553.4</f>
        <v>515861.30000000005</v>
      </c>
      <c r="H52" s="220">
        <f t="shared" si="8"/>
        <v>42.5</v>
      </c>
      <c r="I52" s="53" t="s">
        <v>235</v>
      </c>
      <c r="J52" s="151" t="s">
        <v>122</v>
      </c>
      <c r="K52" s="52" t="s">
        <v>474</v>
      </c>
      <c r="L52" s="57" t="s">
        <v>475</v>
      </c>
      <c r="M52" s="57" t="s">
        <v>635</v>
      </c>
      <c r="N52" s="198" t="s">
        <v>111</v>
      </c>
    </row>
    <row r="53" spans="1:14" ht="15" customHeight="1">
      <c r="A53" s="107" t="s">
        <v>41</v>
      </c>
      <c r="B53" s="50" t="s">
        <v>428</v>
      </c>
      <c r="C53" s="47">
        <f t="shared" si="2"/>
        <v>0</v>
      </c>
      <c r="D53" s="68"/>
      <c r="E53" s="48">
        <f t="shared" si="7"/>
        <v>0</v>
      </c>
      <c r="F53" s="51" t="s">
        <v>618</v>
      </c>
      <c r="G53" s="51">
        <f>44853+2735.9+6513.8+1640771.4+531000+519272.2+114066.6+20129.2+399680.8</f>
        <v>3279022.9</v>
      </c>
      <c r="H53" s="220" t="s">
        <v>111</v>
      </c>
      <c r="I53" s="53" t="s">
        <v>617</v>
      </c>
      <c r="J53" s="53" t="s">
        <v>121</v>
      </c>
      <c r="K53" s="52" t="s">
        <v>259</v>
      </c>
      <c r="L53" s="57" t="s">
        <v>476</v>
      </c>
      <c r="M53" s="57" t="s">
        <v>636</v>
      </c>
      <c r="N53" s="198" t="s">
        <v>111</v>
      </c>
    </row>
    <row r="54" spans="1:14" ht="15" customHeight="1">
      <c r="A54" s="107" t="s">
        <v>42</v>
      </c>
      <c r="B54" s="50" t="s">
        <v>426</v>
      </c>
      <c r="C54" s="47">
        <f t="shared" si="2"/>
        <v>2</v>
      </c>
      <c r="D54" s="68"/>
      <c r="E54" s="48">
        <f t="shared" si="7"/>
        <v>2</v>
      </c>
      <c r="F54" s="51">
        <f>'1.4'!J54</f>
        <v>18480536.52</v>
      </c>
      <c r="G54" s="51">
        <f>412231.83+599019.36+1462736.29+151371+129663.11+3300+52306.58+362040.07+300000+34319.72+61884.9+116147.26+1526105.7+1587866.52+74930.97+110145.61+1625981.82+2400144.52+1015116.49+37543.84+432758.31+2093.13+32891.47+100171.1+84295.62+810507.32+286989.55+141517.9+314227.03+1219940.44+137083.94+211316.53+370685.73+136435.64+3157.89+20000+15303.79+61513.94+89031.9+7004.21+749643.01+10560.5+76534.56</f>
        <v>17376519.100000001</v>
      </c>
      <c r="H54" s="220">
        <f t="shared" si="8"/>
        <v>94</v>
      </c>
      <c r="I54" s="53" t="s">
        <v>236</v>
      </c>
      <c r="J54" s="53" t="s">
        <v>121</v>
      </c>
      <c r="K54" s="52" t="s">
        <v>259</v>
      </c>
      <c r="L54" s="57" t="s">
        <v>267</v>
      </c>
      <c r="M54" s="57" t="s">
        <v>111</v>
      </c>
    </row>
    <row r="55" spans="1:14" ht="15" customHeight="1">
      <c r="A55" s="120" t="s">
        <v>43</v>
      </c>
      <c r="B55" s="89"/>
      <c r="C55" s="89"/>
      <c r="D55" s="89"/>
      <c r="E55" s="89"/>
      <c r="F55" s="228"/>
      <c r="G55" s="228"/>
      <c r="H55" s="221"/>
      <c r="I55" s="147"/>
      <c r="J55" s="147"/>
      <c r="K55" s="148"/>
      <c r="L55" s="148"/>
      <c r="M55" s="149"/>
    </row>
    <row r="56" spans="1:14" ht="15" customHeight="1">
      <c r="A56" s="107" t="s">
        <v>44</v>
      </c>
      <c r="B56" s="50" t="s">
        <v>426</v>
      </c>
      <c r="C56" s="47">
        <f t="shared" si="2"/>
        <v>2</v>
      </c>
      <c r="D56" s="68"/>
      <c r="E56" s="48">
        <f t="shared" ref="E56:E69" si="9">C56*(1-D56)</f>
        <v>2</v>
      </c>
      <c r="F56" s="51">
        <f>'1.4'!J56</f>
        <v>36406678.701160006</v>
      </c>
      <c r="G56" s="51">
        <f>(239602700+8581000+250652600-25720600+482099169.7+349150540+72467700+56497933+2418664380+3836981309.52+1200000000-67787115.12+1099293200+25284591.84+24968979.59+5789055986+5555437380+466319073+1000000000+223999600+80333000+391162600+1254285306.13+1235730892.86+1462635700+100000000+84879700+303110700+19618900+31861600+3680570282.55+1071375530.06+46138900+25781734.69+751540120+303803398+95967600+97647276+723754043.6+6356000+150000000+200000000)/1000</f>
        <v>35122101.71142</v>
      </c>
      <c r="H56" s="220">
        <f>ROUND(G56/F56*100,1)</f>
        <v>96.5</v>
      </c>
      <c r="I56" s="53" t="s">
        <v>236</v>
      </c>
      <c r="J56" s="53" t="s">
        <v>121</v>
      </c>
      <c r="K56" s="52" t="s">
        <v>279</v>
      </c>
      <c r="L56" s="52" t="s">
        <v>267</v>
      </c>
      <c r="M56" s="57" t="s">
        <v>111</v>
      </c>
    </row>
    <row r="57" spans="1:14" s="30" customFormat="1" ht="15" customHeight="1">
      <c r="A57" s="107" t="s">
        <v>548</v>
      </c>
      <c r="B57" s="50" t="s">
        <v>426</v>
      </c>
      <c r="C57" s="47">
        <f t="shared" si="2"/>
        <v>2</v>
      </c>
      <c r="D57" s="68"/>
      <c r="E57" s="48">
        <f t="shared" si="9"/>
        <v>2</v>
      </c>
      <c r="F57" s="51">
        <f>'1.4'!J57</f>
        <v>4873120.0999999996</v>
      </c>
      <c r="G57" s="51">
        <f>136210+20132.06+24602.65307+564096.25543+248665.68469+12308.18182+53192.16885+728129.39394+46005.51+290818.87755+397092.20008+375159.422+11622.2+157912.91009+112097.1+360940.46238+889753.6178+11378.06123+141561.438+177155.5103+49992.74034+1445.3242+30474.89796+9590.71429+2275.71429+14744.89796+5762.14286</f>
        <v>4873120.1391299982</v>
      </c>
      <c r="H57" s="220">
        <f>ROUND(G57/F57*100,1)</f>
        <v>100</v>
      </c>
      <c r="I57" s="53" t="s">
        <v>236</v>
      </c>
      <c r="J57" s="53" t="s">
        <v>121</v>
      </c>
      <c r="K57" s="52" t="s">
        <v>208</v>
      </c>
      <c r="L57" s="52" t="s">
        <v>274</v>
      </c>
      <c r="M57" s="57" t="s">
        <v>111</v>
      </c>
      <c r="N57" s="198"/>
    </row>
    <row r="58" spans="1:14" s="30" customFormat="1" ht="15" customHeight="1">
      <c r="A58" s="107" t="s">
        <v>45</v>
      </c>
      <c r="B58" s="50" t="s">
        <v>428</v>
      </c>
      <c r="C58" s="47">
        <f t="shared" si="2"/>
        <v>0</v>
      </c>
      <c r="D58" s="68"/>
      <c r="E58" s="48">
        <f t="shared" si="9"/>
        <v>0</v>
      </c>
      <c r="F58" s="51">
        <f>'1.4'!J58</f>
        <v>6993573.0999999996</v>
      </c>
      <c r="G58" s="144">
        <f>47187.7+55000+42831.5+62803.7+312238+135059.5+379763.9+20382+367358.8+1765.3+91492.4+5999.6+147100+18988.5</f>
        <v>1687970.9000000001</v>
      </c>
      <c r="H58" s="220">
        <f>ROUND(G58/F58*100,1)</f>
        <v>24.1</v>
      </c>
      <c r="I58" s="53" t="s">
        <v>236</v>
      </c>
      <c r="J58" s="53" t="s">
        <v>122</v>
      </c>
      <c r="K58" s="52" t="s">
        <v>264</v>
      </c>
      <c r="L58" s="52" t="s">
        <v>477</v>
      </c>
      <c r="M58" s="57" t="s">
        <v>621</v>
      </c>
      <c r="N58" s="198" t="s">
        <v>111</v>
      </c>
    </row>
    <row r="59" spans="1:14" s="30" customFormat="1" ht="15" customHeight="1">
      <c r="A59" s="107" t="s">
        <v>46</v>
      </c>
      <c r="B59" s="50" t="s">
        <v>428</v>
      </c>
      <c r="C59" s="47">
        <f t="shared" si="2"/>
        <v>0</v>
      </c>
      <c r="D59" s="68"/>
      <c r="E59" s="48">
        <f t="shared" si="9"/>
        <v>0</v>
      </c>
      <c r="F59" s="51" t="s">
        <v>234</v>
      </c>
      <c r="G59" s="144">
        <f>108723.1+162030.2+75114.1+10032.5+25000+62357.2+1472167.4+1050203+19747803.8+1804132.7</f>
        <v>24517564</v>
      </c>
      <c r="H59" s="220" t="s">
        <v>111</v>
      </c>
      <c r="I59" s="53" t="s">
        <v>234</v>
      </c>
      <c r="J59" s="53" t="s">
        <v>121</v>
      </c>
      <c r="K59" s="52" t="s">
        <v>120</v>
      </c>
      <c r="L59" s="52" t="s">
        <v>479</v>
      </c>
      <c r="M59" s="57" t="s">
        <v>478</v>
      </c>
      <c r="N59" s="198" t="s">
        <v>111</v>
      </c>
    </row>
    <row r="60" spans="1:14" s="30" customFormat="1" ht="15" customHeight="1">
      <c r="A60" s="107" t="s">
        <v>47</v>
      </c>
      <c r="B60" s="50" t="s">
        <v>426</v>
      </c>
      <c r="C60" s="47">
        <f t="shared" si="2"/>
        <v>2</v>
      </c>
      <c r="D60" s="68">
        <v>0.5</v>
      </c>
      <c r="E60" s="48">
        <f t="shared" si="9"/>
        <v>1</v>
      </c>
      <c r="F60" s="51">
        <f>7833533562.8/1000</f>
        <v>7833533.5628000004</v>
      </c>
      <c r="G60" s="51">
        <f>(13323261.6+1155591100.8+23764567.9+6105061.7+10644259.3+3970000+9453940+69309300+93018010+835470940+298555600+305838100+411370150+802115125+119756700+166302000+3177284+44318400+863495120.8+24227000+14792444.5+171593400.1+9000074.2+731191277+34366494.8+93088660+61987771.3+806075+15975000+17222691.9+483914200+26918000-380000+37401500+14386666.5+20622061.9+202859506.2+106228300+406054400)/1000</f>
        <v>7707834.4445000002</v>
      </c>
      <c r="H60" s="220">
        <f t="shared" ref="H60:H71" si="10">ROUND(G60/F60*100,1)</f>
        <v>98.4</v>
      </c>
      <c r="I60" s="53" t="s">
        <v>235</v>
      </c>
      <c r="J60" s="53" t="s">
        <v>121</v>
      </c>
      <c r="K60" s="52" t="s">
        <v>120</v>
      </c>
      <c r="L60" s="52" t="s">
        <v>261</v>
      </c>
      <c r="M60" s="57" t="s">
        <v>290</v>
      </c>
      <c r="N60" s="198" t="s">
        <v>111</v>
      </c>
    </row>
    <row r="61" spans="1:14" ht="15" customHeight="1">
      <c r="A61" s="107" t="s">
        <v>549</v>
      </c>
      <c r="B61" s="50" t="s">
        <v>426</v>
      </c>
      <c r="C61" s="47">
        <f t="shared" si="2"/>
        <v>2</v>
      </c>
      <c r="D61" s="68"/>
      <c r="E61" s="48">
        <f t="shared" si="9"/>
        <v>2</v>
      </c>
      <c r="F61" s="51">
        <f>'1.4'!J61</f>
        <v>5806333.4000000004</v>
      </c>
      <c r="G61" s="51">
        <f>2494.8+365000+335000+210000+90000+100000+120000+100000+1111595+128734.2+720142.4+4069.2+10271.6+6500+78020.7+327852.6+3300+6847.5+16472.1+3766.5+19169.4+300000+7547.5+12374.1+20314.3+8104.9+14740.7+27394.5+62287.4+137933.5+116709.7+147991+133162.9+44232+23975.1+6124.4+289791+45787.1</f>
        <v>5157706.1000000006</v>
      </c>
      <c r="H61" s="220">
        <f t="shared" si="10"/>
        <v>88.8</v>
      </c>
      <c r="I61" s="53" t="s">
        <v>236</v>
      </c>
      <c r="J61" s="53" t="s">
        <v>121</v>
      </c>
      <c r="K61" s="52" t="s">
        <v>275</v>
      </c>
      <c r="L61" s="52" t="s">
        <v>279</v>
      </c>
      <c r="M61" s="57" t="s">
        <v>111</v>
      </c>
    </row>
    <row r="62" spans="1:14" s="30" customFormat="1" ht="14.5" customHeight="1">
      <c r="A62" s="107" t="s">
        <v>48</v>
      </c>
      <c r="B62" s="50" t="s">
        <v>427</v>
      </c>
      <c r="C62" s="47">
        <f t="shared" si="2"/>
        <v>1</v>
      </c>
      <c r="D62" s="68"/>
      <c r="E62" s="48">
        <f t="shared" si="9"/>
        <v>1</v>
      </c>
      <c r="F62" s="51">
        <f>'1.4'!J62</f>
        <v>17747765.899999999</v>
      </c>
      <c r="G62" s="144">
        <f>235486.3+20718.3-2959.8+7798.6+1253783.5+136237+1010432.6+567247.5+14043.4+19850-16250+21383.3+21500+35473.7+100000-44189.5+59308.1+52212.4+30000+18174.9+7694.8+213684.2+86849+7206.8+4172.3+81252.4+119128.5+14287.2+253197.5+1870059.2+722491.6+2906587.2-300000+105201.6+185198.7+986707.9+412000+249128.8+90430.2+193823.9+36621.7+62916.5+68728.7</f>
        <v>11917618.999999998</v>
      </c>
      <c r="H62" s="220">
        <f t="shared" si="10"/>
        <v>67.099999999999994</v>
      </c>
      <c r="I62" s="53" t="s">
        <v>236</v>
      </c>
      <c r="J62" s="53" t="s">
        <v>121</v>
      </c>
      <c r="K62" s="52" t="s">
        <v>258</v>
      </c>
      <c r="L62" s="52" t="s">
        <v>267</v>
      </c>
      <c r="M62" s="57" t="s">
        <v>111</v>
      </c>
      <c r="N62" s="198"/>
    </row>
    <row r="63" spans="1:14" s="30" customFormat="1" ht="14.5" customHeight="1">
      <c r="A63" s="107" t="s">
        <v>49</v>
      </c>
      <c r="B63" s="50" t="s">
        <v>426</v>
      </c>
      <c r="C63" s="47">
        <f t="shared" si="2"/>
        <v>2</v>
      </c>
      <c r="D63" s="68"/>
      <c r="E63" s="48">
        <f t="shared" si="9"/>
        <v>2</v>
      </c>
      <c r="F63" s="51">
        <f>'1.4'!J63</f>
        <v>15526501.5</v>
      </c>
      <c r="G63" s="144">
        <f>55928.1+23040.6+33008.2+12403.1+4808.4+37387.4+10149.6+94212.9+6500+541075.6+18600+21357.1+19400.4+62932+2150793.9+49301.9+794998.5+2072019.3+102500+395402+494952.6+2661624+1245801+415269+188444.9+1230000+9329.5+383630+4468.2+7478.2+4996.9+3793+32000+82392.7+104757.4+14010+5644.8+32153+63603.5+3587.7</f>
        <v>13493755.399999999</v>
      </c>
      <c r="H63" s="220">
        <f t="shared" si="10"/>
        <v>86.9</v>
      </c>
      <c r="I63" s="53" t="s">
        <v>236</v>
      </c>
      <c r="J63" s="53" t="s">
        <v>121</v>
      </c>
      <c r="K63" s="52" t="s">
        <v>276</v>
      </c>
      <c r="L63" s="52" t="s">
        <v>284</v>
      </c>
      <c r="M63" s="57" t="s">
        <v>111</v>
      </c>
      <c r="N63" s="198"/>
    </row>
    <row r="64" spans="1:14" s="30" customFormat="1" ht="14.5" customHeight="1">
      <c r="A64" s="107" t="s">
        <v>550</v>
      </c>
      <c r="B64" s="50" t="s">
        <v>426</v>
      </c>
      <c r="C64" s="47">
        <f t="shared" si="2"/>
        <v>2</v>
      </c>
      <c r="D64" s="68"/>
      <c r="E64" s="48">
        <f t="shared" si="9"/>
        <v>2</v>
      </c>
      <c r="F64" s="51">
        <f>'1.4'!J64</f>
        <v>28879963.300000001</v>
      </c>
      <c r="G64" s="51">
        <f>3181227.7+9137.9+28936.6+10076.3+39885.4+5894.4+18665.2+892.3+21416+3466.4+13721.2+2344.7+7424.7+1038.2+3287.7+31.6+759+197379.4+32076.3+48721.6+151316.7+108706.4+212656.8+47606+227345.5+424313.9+396.2+5348.1+128354.8+762472+490278.2+392242.2+1242100.2+387.2+9292.1+4316.4+103593.3+2578.5+61884.3+249858.5+791218.7+253293.4+196554.3+270000+23798.7+91169.2+3150.2+75611+3969.5+95268.8+24590.3+534900.7+248254.2+2970+2036106.7+84400+1196052.4+2447.9+58747.3+14103.2+446054.3+89626.7+1142924.3+2520139.2+82610.6+274493.7+24800+4001991.6+411.8+1303.9+107891.6+280000+40625.9+975022.1+500000+14850.3+449255.6+46609.8+1484095.5+14999.7+8821.6+11.5+68525.8+24500.5+110481.6+200000+14458.4</f>
        <v>27182542.400000006</v>
      </c>
      <c r="H64" s="220">
        <f t="shared" si="10"/>
        <v>94.1</v>
      </c>
      <c r="I64" s="53" t="s">
        <v>236</v>
      </c>
      <c r="J64" s="53" t="s">
        <v>121</v>
      </c>
      <c r="K64" s="52" t="s">
        <v>480</v>
      </c>
      <c r="L64" s="52" t="s">
        <v>272</v>
      </c>
      <c r="M64" s="57" t="s">
        <v>111</v>
      </c>
      <c r="N64" s="198"/>
    </row>
    <row r="65" spans="1:14" s="30" customFormat="1" ht="15" customHeight="1">
      <c r="A65" s="107" t="s">
        <v>50</v>
      </c>
      <c r="B65" s="50" t="s">
        <v>426</v>
      </c>
      <c r="C65" s="47">
        <f t="shared" si="2"/>
        <v>2</v>
      </c>
      <c r="D65" s="68"/>
      <c r="E65" s="48">
        <f t="shared" si="9"/>
        <v>2</v>
      </c>
      <c r="F65" s="51">
        <f>'1.4'!J65</f>
        <v>18293559.300000001</v>
      </c>
      <c r="G65" s="51">
        <f>124198.6+554492.9+120000+1722.2+2227106.5+326507.3+60649.4+51196.4+375205.1+60114+709974.9+155483.4-0.037+315240+94531.3+3396989+129123.7+302090.2+132095+28740.4+52900+126413.8+10000+1159037.9+100000+174492.6+6000+71033.6+25002.8+244613.7+68777.6+3430.8+1200+42864.9+30906.9+1184995.5+177162.2+8388.7+49664.4+417215.7+12312+4193.6+127200+10670.3+425052.6+651800+36535.6+889334.6+255886.8+200000+16737.8+48468.6+32081+1017924.2+500000-548.2+134947+53493.6+50000+111858.5</f>
        <v>17697509.363000002</v>
      </c>
      <c r="H65" s="220">
        <f t="shared" si="10"/>
        <v>96.7</v>
      </c>
      <c r="I65" s="53" t="s">
        <v>236</v>
      </c>
      <c r="J65" s="53" t="s">
        <v>121</v>
      </c>
      <c r="K65" s="52" t="s">
        <v>279</v>
      </c>
      <c r="L65" s="52" t="s">
        <v>261</v>
      </c>
      <c r="M65" s="57" t="s">
        <v>111</v>
      </c>
      <c r="N65" s="198"/>
    </row>
    <row r="66" spans="1:14" s="30" customFormat="1" ht="15" customHeight="1">
      <c r="A66" s="107" t="s">
        <v>51</v>
      </c>
      <c r="B66" s="136" t="s">
        <v>426</v>
      </c>
      <c r="C66" s="110">
        <f t="shared" si="2"/>
        <v>2</v>
      </c>
      <c r="D66" s="197"/>
      <c r="E66" s="182">
        <f t="shared" si="9"/>
        <v>2</v>
      </c>
      <c r="F66" s="51">
        <v>9106929.9000000004</v>
      </c>
      <c r="G66" s="51">
        <f>377145.1+174958.8+323241.6+39986.2+10799.6+25631+2939.5+82553.9+348967.9+55977.7+98606.4+535208.2+13246.4+63989.4+715691.6+5614.2+459343.2+121006.9+30159.2+646821.2+973533+7984.8+6000+1257965+23200+5000+193067.7+119396.4+78679.7+9310+5000+51500+950+500+31223.1+71636+1320.3+661049.3</f>
        <v>7629203.2999999998</v>
      </c>
      <c r="H66" s="220">
        <f t="shared" si="10"/>
        <v>83.8</v>
      </c>
      <c r="I66" s="53" t="s">
        <v>645</v>
      </c>
      <c r="J66" s="53" t="s">
        <v>121</v>
      </c>
      <c r="K66" s="52" t="s">
        <v>279</v>
      </c>
      <c r="L66" s="52" t="s">
        <v>481</v>
      </c>
      <c r="M66" s="57" t="s">
        <v>643</v>
      </c>
      <c r="N66" s="198" t="s">
        <v>111</v>
      </c>
    </row>
    <row r="67" spans="1:14" ht="15" customHeight="1">
      <c r="A67" s="107" t="s">
        <v>52</v>
      </c>
      <c r="B67" s="50" t="s">
        <v>428</v>
      </c>
      <c r="C67" s="47">
        <f t="shared" si="2"/>
        <v>0</v>
      </c>
      <c r="D67" s="68"/>
      <c r="E67" s="48">
        <f t="shared" si="9"/>
        <v>0</v>
      </c>
      <c r="F67" s="51" t="s">
        <v>618</v>
      </c>
      <c r="G67" s="51">
        <f>3418+1024960+1092+2100+1588+44395+2012+851772+3486+72976+20325+92675+10003+9018+451+25641+607958+10899+59775+67960+3380+9522+225947+43211+232918+50000+196202+3268+160937+309184+15354+9492+11212+31882+484645+22802+71656+6968+6375+4405+1111329+3040397+306620+756786+18658+205157+269406+593542+3872882+126091+119810+882069+27505+571884+15643+1068879+29062+4806097+335000+41845+135551+489476+74756+61416+16858+44124+79884+42151+10000</f>
        <v>23964742</v>
      </c>
      <c r="H67" s="220" t="s">
        <v>111</v>
      </c>
      <c r="I67" s="53" t="s">
        <v>617</v>
      </c>
      <c r="J67" s="53" t="s">
        <v>121</v>
      </c>
      <c r="K67" s="52" t="s">
        <v>482</v>
      </c>
      <c r="L67" s="52" t="s">
        <v>483</v>
      </c>
      <c r="M67" s="57" t="s">
        <v>636</v>
      </c>
      <c r="N67" s="198" t="s">
        <v>111</v>
      </c>
    </row>
    <row r="68" spans="1:14" s="30" customFormat="1" ht="15" customHeight="1">
      <c r="A68" s="107" t="s">
        <v>53</v>
      </c>
      <c r="B68" s="50" t="s">
        <v>426</v>
      </c>
      <c r="C68" s="47">
        <f t="shared" si="2"/>
        <v>2</v>
      </c>
      <c r="D68" s="68"/>
      <c r="E68" s="48">
        <f t="shared" si="9"/>
        <v>2</v>
      </c>
      <c r="F68" s="51">
        <f>'1.4'!J68</f>
        <v>7800973.5</v>
      </c>
      <c r="G68" s="51">
        <v>7623673.5</v>
      </c>
      <c r="H68" s="220">
        <f t="shared" si="10"/>
        <v>97.7</v>
      </c>
      <c r="I68" s="53" t="s">
        <v>236</v>
      </c>
      <c r="J68" s="53" t="s">
        <v>121</v>
      </c>
      <c r="K68" s="52" t="s">
        <v>264</v>
      </c>
      <c r="L68" s="52" t="s">
        <v>269</v>
      </c>
      <c r="M68" s="57" t="s">
        <v>111</v>
      </c>
      <c r="N68" s="198"/>
    </row>
    <row r="69" spans="1:14" s="30" customFormat="1" ht="15" customHeight="1">
      <c r="A69" s="107" t="s">
        <v>54</v>
      </c>
      <c r="B69" s="50" t="s">
        <v>426</v>
      </c>
      <c r="C69" s="47">
        <f t="shared" si="2"/>
        <v>2</v>
      </c>
      <c r="D69" s="68"/>
      <c r="E69" s="48">
        <f t="shared" si="9"/>
        <v>2</v>
      </c>
      <c r="F69" s="51">
        <f>'1.4'!J69</f>
        <v>6884008.3191799996</v>
      </c>
      <c r="G69" s="51">
        <f>42858.71653+3375+329347.62887+20000+1900+9905.1+22945.2+26500+1000+8125.9+1000+24372.9+849+10940.9+1100+3583.3+270055.43987+52902.2+1000+170932.864+1571627.2+80000+7665.7+516184+256.3+10000+41653.75+2517.1+703121.675+25568.6+90097.4+298285.7+25000+1000+30000+10249.9+355000+1209327.29+30070+69441.29+70685+4684.6+44022+16875+15000+63292.3+404433.6+74575.4</f>
        <v>6773327.9542700006</v>
      </c>
      <c r="H69" s="220">
        <f t="shared" si="10"/>
        <v>98.4</v>
      </c>
      <c r="I69" s="53" t="s">
        <v>236</v>
      </c>
      <c r="J69" s="53" t="s">
        <v>121</v>
      </c>
      <c r="K69" s="52" t="s">
        <v>264</v>
      </c>
      <c r="L69" s="52" t="s">
        <v>484</v>
      </c>
      <c r="M69" s="57" t="s">
        <v>111</v>
      </c>
      <c r="N69" s="198"/>
    </row>
    <row r="70" spans="1:14" ht="15" customHeight="1">
      <c r="A70" s="120" t="s">
        <v>55</v>
      </c>
      <c r="B70" s="89"/>
      <c r="C70" s="89"/>
      <c r="D70" s="89"/>
      <c r="E70" s="89"/>
      <c r="F70" s="228"/>
      <c r="G70" s="228"/>
      <c r="H70" s="86"/>
      <c r="I70" s="89"/>
      <c r="J70" s="89"/>
      <c r="K70" s="148"/>
      <c r="L70" s="148"/>
      <c r="M70" s="149"/>
    </row>
    <row r="71" spans="1:14" ht="15" customHeight="1">
      <c r="A71" s="107" t="s">
        <v>56</v>
      </c>
      <c r="B71" s="50" t="s">
        <v>426</v>
      </c>
      <c r="C71" s="47">
        <f t="shared" si="2"/>
        <v>2</v>
      </c>
      <c r="D71" s="68"/>
      <c r="E71" s="48">
        <f t="shared" ref="E71:E76" si="11">C71*(1-D71)</f>
        <v>2</v>
      </c>
      <c r="F71" s="51">
        <f>'1.4'!J71</f>
        <v>7871843.4000000004</v>
      </c>
      <c r="G71" s="51">
        <f>7044528.8</f>
        <v>7044528.7999999998</v>
      </c>
      <c r="H71" s="220">
        <f t="shared" si="10"/>
        <v>89.5</v>
      </c>
      <c r="I71" s="53" t="s">
        <v>236</v>
      </c>
      <c r="J71" s="53" t="s">
        <v>121</v>
      </c>
      <c r="K71" s="52" t="s">
        <v>261</v>
      </c>
      <c r="L71" s="52" t="s">
        <v>279</v>
      </c>
      <c r="M71" s="57" t="s">
        <v>111</v>
      </c>
    </row>
    <row r="72" spans="1:14" s="30" customFormat="1" ht="15" customHeight="1">
      <c r="A72" s="107" t="s">
        <v>57</v>
      </c>
      <c r="B72" s="50" t="s">
        <v>428</v>
      </c>
      <c r="C72" s="47">
        <f t="shared" si="2"/>
        <v>0</v>
      </c>
      <c r="D72" s="68"/>
      <c r="E72" s="48">
        <f t="shared" si="11"/>
        <v>0</v>
      </c>
      <c r="F72" s="51">
        <v>34825300.70000001</v>
      </c>
      <c r="G72" s="144">
        <f>23625+3772257+1639105.2+112012+196021.1+20897.6+100000+1377146.5+10000+11106.6+10400+6406+14782.9+4000+1000+2650+8132.1+16170.7+60327.2+9441.8+102699+2022.1+9914.4+12655.9+5674.8+1177095.5+611685.1+675952.4+320880.7+200000+1604386.9+15666.5</f>
        <v>12134114.999999998</v>
      </c>
      <c r="H72" s="220">
        <f t="shared" ref="H72:H76" si="12">ROUND(G72/F72*100,1)</f>
        <v>34.799999999999997</v>
      </c>
      <c r="I72" s="53" t="s">
        <v>235</v>
      </c>
      <c r="J72" s="53" t="s">
        <v>121</v>
      </c>
      <c r="K72" s="52" t="s">
        <v>285</v>
      </c>
      <c r="L72" s="52" t="s">
        <v>269</v>
      </c>
      <c r="M72" s="57" t="s">
        <v>625</v>
      </c>
      <c r="N72" s="198" t="s">
        <v>111</v>
      </c>
    </row>
    <row r="73" spans="1:14" ht="15" customHeight="1">
      <c r="A73" s="107" t="s">
        <v>58</v>
      </c>
      <c r="B73" s="50" t="s">
        <v>426</v>
      </c>
      <c r="C73" s="47">
        <f t="shared" si="2"/>
        <v>2</v>
      </c>
      <c r="D73" s="68"/>
      <c r="E73" s="48">
        <f t="shared" si="11"/>
        <v>2</v>
      </c>
      <c r="F73" s="51">
        <f>'1.4'!J73</f>
        <v>5862130</v>
      </c>
      <c r="G73" s="51">
        <v>5844064</v>
      </c>
      <c r="H73" s="220">
        <f t="shared" si="12"/>
        <v>99.7</v>
      </c>
      <c r="I73" s="53" t="s">
        <v>236</v>
      </c>
      <c r="J73" s="53" t="s">
        <v>121</v>
      </c>
      <c r="K73" s="52" t="s">
        <v>265</v>
      </c>
      <c r="L73" s="52" t="s">
        <v>281</v>
      </c>
      <c r="M73" s="57" t="s">
        <v>111</v>
      </c>
    </row>
    <row r="74" spans="1:14" ht="15" customHeight="1">
      <c r="A74" s="107" t="s">
        <v>59</v>
      </c>
      <c r="B74" s="50" t="s">
        <v>426</v>
      </c>
      <c r="C74" s="47">
        <f t="shared" si="2"/>
        <v>2</v>
      </c>
      <c r="D74" s="68"/>
      <c r="E74" s="48">
        <f t="shared" si="11"/>
        <v>2</v>
      </c>
      <c r="F74" s="51">
        <f>'1.4'!J74</f>
        <v>31606121.899999999</v>
      </c>
      <c r="G74" s="51">
        <f>222580.2+460683.7+2944195.5+2791100+262141.4+5000+43088.7+471020.1+755476.9+972389.7+109134.8+1297441.1+1064915.8+1104970.3+530252.1+183000+1634373.2+291172.9+825755.8+23783+123966.7+122011.8+83531.3+976559.2+46584.4+300000+254651.7+247583.7+58000+2184592.7+16568+29785.3+42122.8+80500+1201250.4+1180000+13170.8+38691.7+713485.2+4500+77121.4+13383.6+43504.8+97222.3+37482.7+11462.9+28351.6+3134+70761.7+3493.1+31047.4+3284+60778.8+19132.6+1992.8+18447.7+3200.8+13650+23000+890+1500000+58255.5+21357.1+15027.3+87899.9+11278.8+20324.4+18339.4+51849.4+139970.1+313000+149823.9+4024.2+15910+268739.7+16760.3+2396.4+45907.5+1202.7+2413+30000+66936.7+83356.6+123100+98734.2+558139.2+11615.2+30000+232282.2+16500+562178.2+183472.2+35803.7+6452+36400+10000+37994.8+346253.3+32015+11384.9+14792.4+17074.8+14439.5+204427.4+1000+14152.9+186163.1+2288.4+15634.4+471216.5+25238.8</f>
        <v>30494899.099999987</v>
      </c>
      <c r="H74" s="220">
        <f t="shared" si="12"/>
        <v>96.5</v>
      </c>
      <c r="I74" s="53" t="s">
        <v>236</v>
      </c>
      <c r="J74" s="53" t="s">
        <v>121</v>
      </c>
      <c r="K74" s="52" t="s">
        <v>208</v>
      </c>
      <c r="L74" s="52" t="s">
        <v>267</v>
      </c>
      <c r="M74" s="57" t="s">
        <v>111</v>
      </c>
    </row>
    <row r="75" spans="1:14" s="30" customFormat="1" ht="15" customHeight="1">
      <c r="A75" s="107" t="s">
        <v>551</v>
      </c>
      <c r="B75" s="50" t="s">
        <v>426</v>
      </c>
      <c r="C75" s="47">
        <f t="shared" ref="C75:C99" si="13">IF(B75="75 – 100 %",2,(IF(B75="50 – 74,9 %",1,0)))</f>
        <v>2</v>
      </c>
      <c r="D75" s="68"/>
      <c r="E75" s="48">
        <f t="shared" si="11"/>
        <v>2</v>
      </c>
      <c r="F75" s="51">
        <f>'1.4'!J75</f>
        <v>32923129.399999999</v>
      </c>
      <c r="G75" s="51">
        <f>209616+5366.4+1463861.4+305755.9+20321.8+789477+289709.3+349830.3+8030359.6+13229.5+6259.3+164008.3+234255.8+117663+2159.3+639.3+248571.9+517793.7+35000+9611.4+231616.7+78378+8945.7+84025.2+730173.3+1289998.3+118962.3+5650425.1+266355.3+726877.2+327302.5+2408739.6+432870.1+551100.3+2042874.9+133613.6+154300.1+170305.2+53630.6+177437.4+72838.5+890992.2+8000+70000+345400.6+330005+77730+3800+2200+450000+871351.2+150000+449116+89299.2+30920+47262.6+151965.5+191292.7</f>
        <v>32683594.100000009</v>
      </c>
      <c r="H75" s="220">
        <f t="shared" si="12"/>
        <v>99.3</v>
      </c>
      <c r="I75" s="53" t="s">
        <v>236</v>
      </c>
      <c r="J75" s="53" t="s">
        <v>121</v>
      </c>
      <c r="K75" s="52" t="s">
        <v>258</v>
      </c>
      <c r="L75" s="52" t="s">
        <v>287</v>
      </c>
      <c r="M75" s="151" t="s">
        <v>111</v>
      </c>
      <c r="N75" s="198"/>
    </row>
    <row r="76" spans="1:14" ht="15" customHeight="1">
      <c r="A76" s="107" t="s">
        <v>60</v>
      </c>
      <c r="B76" s="50" t="s">
        <v>426</v>
      </c>
      <c r="C76" s="47">
        <f t="shared" si="13"/>
        <v>2</v>
      </c>
      <c r="D76" s="68"/>
      <c r="E76" s="48">
        <f t="shared" si="11"/>
        <v>2</v>
      </c>
      <c r="F76" s="51">
        <v>48140859</v>
      </c>
      <c r="G76" s="51">
        <f>48140859-73048</f>
        <v>48067811</v>
      </c>
      <c r="H76" s="220">
        <f t="shared" si="12"/>
        <v>99.8</v>
      </c>
      <c r="I76" s="53" t="s">
        <v>236</v>
      </c>
      <c r="J76" s="53" t="s">
        <v>121</v>
      </c>
      <c r="K76" s="52" t="s">
        <v>261</v>
      </c>
      <c r="L76" s="52" t="s">
        <v>283</v>
      </c>
      <c r="M76" s="50" t="s">
        <v>111</v>
      </c>
    </row>
    <row r="77" spans="1:14" s="30" customFormat="1" ht="15" customHeight="1">
      <c r="A77" s="120" t="s">
        <v>61</v>
      </c>
      <c r="B77" s="89"/>
      <c r="C77" s="89"/>
      <c r="D77" s="89"/>
      <c r="E77" s="89"/>
      <c r="F77" s="228"/>
      <c r="G77" s="228"/>
      <c r="H77" s="86"/>
      <c r="I77" s="89"/>
      <c r="J77" s="89"/>
      <c r="K77" s="89"/>
      <c r="L77" s="89"/>
      <c r="M77" s="89"/>
      <c r="N77" s="198"/>
    </row>
    <row r="78" spans="1:14" ht="15" customHeight="1">
      <c r="A78" s="107" t="s">
        <v>62</v>
      </c>
      <c r="B78" s="50" t="s">
        <v>426</v>
      </c>
      <c r="C78" s="47">
        <f t="shared" si="13"/>
        <v>2</v>
      </c>
      <c r="D78" s="68"/>
      <c r="E78" s="48">
        <f t="shared" ref="E78:E87" si="14">C78*(1-D78)</f>
        <v>2</v>
      </c>
      <c r="F78" s="51">
        <f>'1.4'!J78</f>
        <v>2250507.5</v>
      </c>
      <c r="G78" s="51">
        <v>2150264.5</v>
      </c>
      <c r="H78" s="220">
        <f t="shared" ref="H78:H87" si="15">ROUND(G78/F78*100,1)</f>
        <v>95.5</v>
      </c>
      <c r="I78" s="53" t="s">
        <v>236</v>
      </c>
      <c r="J78" s="53" t="s">
        <v>121</v>
      </c>
      <c r="K78" s="52" t="s">
        <v>275</v>
      </c>
      <c r="L78" s="52" t="s">
        <v>283</v>
      </c>
      <c r="M78" s="57" t="s">
        <v>111</v>
      </c>
    </row>
    <row r="79" spans="1:14" s="30" customFormat="1" ht="15" customHeight="1">
      <c r="A79" s="107" t="s">
        <v>64</v>
      </c>
      <c r="B79" s="50" t="s">
        <v>428</v>
      </c>
      <c r="C79" s="47">
        <f t="shared" si="13"/>
        <v>0</v>
      </c>
      <c r="D79" s="68"/>
      <c r="E79" s="48">
        <f t="shared" si="14"/>
        <v>0</v>
      </c>
      <c r="F79" s="51" t="s">
        <v>618</v>
      </c>
      <c r="G79" s="51">
        <f>41077+421600+61322+4154+20024.1+176658+422464+101021+464.8+549.3+8210+7870+168646.8+24219+390997.9+208660+49449+6000+12485+11244.9+103985.8+1229.2+22897+12935.1</f>
        <v>2278163.9000000004</v>
      </c>
      <c r="H79" s="220" t="s">
        <v>111</v>
      </c>
      <c r="I79" s="53" t="s">
        <v>617</v>
      </c>
      <c r="J79" s="53" t="s">
        <v>121</v>
      </c>
      <c r="K79" s="52" t="s">
        <v>259</v>
      </c>
      <c r="L79" s="52" t="s">
        <v>485</v>
      </c>
      <c r="M79" s="57" t="s">
        <v>638</v>
      </c>
      <c r="N79" s="213" t="s">
        <v>111</v>
      </c>
    </row>
    <row r="80" spans="1:14" s="30" customFormat="1" ht="15" customHeight="1">
      <c r="A80" s="107" t="s">
        <v>65</v>
      </c>
      <c r="B80" s="50" t="s">
        <v>426</v>
      </c>
      <c r="C80" s="47">
        <f t="shared" si="13"/>
        <v>2</v>
      </c>
      <c r="D80" s="68"/>
      <c r="E80" s="48">
        <f t="shared" si="14"/>
        <v>2</v>
      </c>
      <c r="F80" s="51">
        <f>'1.4'!J80</f>
        <v>5972468</v>
      </c>
      <c r="G80" s="51">
        <f>6000+25000+492776+5000+260600+100000+430522+85000+21500+12315+22703+15000+10000+10000+1300+5000+15000+10000+1765.7+50000+114000+492120.75334+21951.23968+17709.8106+124216.87604+9187.67677+150619.394+236436.11111+18467.7+5500+67082+147181+358167+21285+702500+82322+4370+20155+110200+77765.859+9000+444.444+400+2358+21292+60364+4500+9215+13000+23730+11500+8730.667+1258.444+30636.364+120677.111+76821.889+4545.455+1707.4+100000+143577.68+40000+1000+10000+10524+84884.5</f>
        <v>5150886.0745400004</v>
      </c>
      <c r="H80" s="220">
        <f t="shared" si="15"/>
        <v>86.2</v>
      </c>
      <c r="I80" s="53" t="s">
        <v>236</v>
      </c>
      <c r="J80" s="53" t="s">
        <v>121</v>
      </c>
      <c r="K80" s="52" t="s">
        <v>266</v>
      </c>
      <c r="L80" s="52" t="s">
        <v>640</v>
      </c>
      <c r="M80" s="57" t="s">
        <v>641</v>
      </c>
      <c r="N80" s="198" t="s">
        <v>111</v>
      </c>
    </row>
    <row r="81" spans="1:14" ht="15" customHeight="1">
      <c r="A81" s="107" t="s">
        <v>66</v>
      </c>
      <c r="B81" s="50" t="s">
        <v>426</v>
      </c>
      <c r="C81" s="47">
        <f t="shared" si="13"/>
        <v>2</v>
      </c>
      <c r="D81" s="68">
        <v>0.5</v>
      </c>
      <c r="E81" s="48">
        <f t="shared" si="14"/>
        <v>1</v>
      </c>
      <c r="F81" s="51">
        <v>18305610.999999996</v>
      </c>
      <c r="G81" s="51">
        <f>63513.9+1440863.3+647204.7+80528.9+143803.4+79124+87182.2+5946.4+4940.5+13961.6+49860.3+334383.8+6500+1600+45910.1+463212.2+155965.1+15488.7+63922.5+310371+172503.6+1210152.3+434061.7+1295807.8+540763.7+66855.4+15139.6+32000+35041+66630.7+140378.9+57456.4+66641.4+800000+164290+124489+243169+20000+1259722+1249476+1983453+100000+300000+3000+222478+640000+210000+2000000</f>
        <v>17467792.100000001</v>
      </c>
      <c r="H81" s="220">
        <f t="shared" si="15"/>
        <v>95.4</v>
      </c>
      <c r="I81" s="53" t="s">
        <v>235</v>
      </c>
      <c r="J81" s="53" t="s">
        <v>121</v>
      </c>
      <c r="K81" s="52" t="s">
        <v>486</v>
      </c>
      <c r="L81" s="52" t="s">
        <v>487</v>
      </c>
      <c r="M81" s="50" t="s">
        <v>290</v>
      </c>
      <c r="N81" s="198" t="s">
        <v>111</v>
      </c>
    </row>
    <row r="82" spans="1:14" s="30" customFormat="1" ht="15" customHeight="1">
      <c r="A82" s="107" t="s">
        <v>68</v>
      </c>
      <c r="B82" s="50" t="s">
        <v>428</v>
      </c>
      <c r="C82" s="47">
        <f t="shared" si="13"/>
        <v>0</v>
      </c>
      <c r="D82" s="68"/>
      <c r="E82" s="48">
        <f t="shared" si="14"/>
        <v>0</v>
      </c>
      <c r="F82" s="51">
        <f>'1.4'!J82</f>
        <v>22088011.399999999</v>
      </c>
      <c r="G82" s="51">
        <f>2153940.6+187509.9+54284.6+144878.3+10251.2+15251.1+250000+1500+16351+19207.8+20551.4+9600+28951.5+13969+50089.4+85696.4+80000+2084836.7+9829.6+675670+852450.2</f>
        <v>6764818.6999999993</v>
      </c>
      <c r="H82" s="220">
        <f t="shared" si="15"/>
        <v>30.6</v>
      </c>
      <c r="I82" s="53" t="s">
        <v>236</v>
      </c>
      <c r="J82" s="53" t="s">
        <v>121</v>
      </c>
      <c r="K82" s="52" t="s">
        <v>260</v>
      </c>
      <c r="L82" s="52" t="s">
        <v>488</v>
      </c>
      <c r="M82" s="57" t="s">
        <v>642</v>
      </c>
      <c r="N82" s="198" t="s">
        <v>111</v>
      </c>
    </row>
    <row r="83" spans="1:14" ht="15" customHeight="1">
      <c r="A83" s="107" t="s">
        <v>69</v>
      </c>
      <c r="B83" s="50" t="s">
        <v>426</v>
      </c>
      <c r="C83" s="47">
        <f t="shared" si="13"/>
        <v>2</v>
      </c>
      <c r="D83" s="68"/>
      <c r="E83" s="48">
        <f t="shared" si="14"/>
        <v>2</v>
      </c>
      <c r="F83" s="51">
        <f>'1.4'!J83</f>
        <v>40552855.299999997</v>
      </c>
      <c r="G83" s="51">
        <f>743253.4+514366.7+595261.6+1605575.6+188005.4+1442851.5+59016+34524+135446.7+292745.5+57571.8+1834600+17487.4+136827.2+960+620684+425203.8+100824.6+62198.3+54526.3+573333.4+36271.9+8164.4+70234.9+80000+3935.9+10747+394964.6+337838.4+1331683.9+20000+126552.2+3832944.2+45159.9+5114.4+2847851.2+125724.1+1605958.5+839911.6+5462263.4+134628.5+57360.7+275748.6+130653+193365+100000+30000+35081.4+116511.4+63510+270785+882.7+3319411.8+20436.1+850000+266828.1+1545018.7+532970.5+276468.7+74816.4+79612.4+1925479.5+117409.3</f>
        <v>37097561.500000007</v>
      </c>
      <c r="H83" s="220">
        <f t="shared" si="15"/>
        <v>91.5</v>
      </c>
      <c r="I83" s="53" t="s">
        <v>236</v>
      </c>
      <c r="J83" s="53" t="s">
        <v>121</v>
      </c>
      <c r="K83" s="52" t="s">
        <v>465</v>
      </c>
      <c r="L83" s="52" t="s">
        <v>261</v>
      </c>
      <c r="M83" s="57" t="s">
        <v>111</v>
      </c>
    </row>
    <row r="84" spans="1:14" s="7" customFormat="1" ht="15" customHeight="1">
      <c r="A84" s="107" t="s">
        <v>552</v>
      </c>
      <c r="B84" s="50" t="s">
        <v>426</v>
      </c>
      <c r="C84" s="47">
        <f t="shared" si="13"/>
        <v>2</v>
      </c>
      <c r="D84" s="68"/>
      <c r="E84" s="48">
        <f t="shared" si="14"/>
        <v>2</v>
      </c>
      <c r="F84" s="51">
        <f>'1.4'!J84</f>
        <v>34879664.799999997</v>
      </c>
      <c r="G84" s="51">
        <f>153327.3+244542.1+362890+258000+48120+535200+19971.7+75090.7+1492222.9+462000+513800+192500+178500+539000+150600+1008606.4+437554.6+164905.1+4274438+334885.4+361062.9+1860905.1+365546.3+1972627.4+61564.5+6375+778127.9+30080.3+266064.1+167294+382923.1+32417+319507.2+280000+1334555.1+1473733.1+2278806.2+50+122165.6+1592705.3+59681.3+16056.2+13615.7+23712+24844.3+32386+172284.8+30000+98734.2+8790+177282.8+6000+3210.2+21337+3472+139774+15744.6+34982.5+7320.1+3200+3000+450+300+580+9644.7+2190+693.5+693470.4+1539562.4+982001+2072+113482.6+4240.3+390438.2+81694.8+254425+144957.6+636711.1+4338.2+766651.6+229716.9+10632.4</f>
        <v>31896344.70000001</v>
      </c>
      <c r="H84" s="220">
        <f t="shared" si="15"/>
        <v>91.4</v>
      </c>
      <c r="I84" s="53" t="s">
        <v>236</v>
      </c>
      <c r="J84" s="53" t="s">
        <v>121</v>
      </c>
      <c r="K84" s="52" t="s">
        <v>262</v>
      </c>
      <c r="L84" s="52" t="s">
        <v>267</v>
      </c>
      <c r="M84" s="57" t="s">
        <v>111</v>
      </c>
      <c r="N84" s="198"/>
    </row>
    <row r="85" spans="1:14" s="30" customFormat="1" ht="15" customHeight="1">
      <c r="A85" s="107" t="s">
        <v>70</v>
      </c>
      <c r="B85" s="50" t="s">
        <v>426</v>
      </c>
      <c r="C85" s="47">
        <f t="shared" si="13"/>
        <v>2</v>
      </c>
      <c r="D85" s="68"/>
      <c r="E85" s="48">
        <f t="shared" si="14"/>
        <v>2</v>
      </c>
      <c r="F85" s="51">
        <f>'1.4'!J85</f>
        <v>55563815.200000003</v>
      </c>
      <c r="G85" s="51">
        <f>5166.8+130636.8+21332.9+1693130.5+20000+422714.2+891299+30000+278679.5+4000+39736.4+35408.3+43994.4+6176.8+1888190.6+196146.8+411191.6+500874+398763.7+1199040.7+1735911.6+359879.6+202958.1+2092080.2+465932.4+3291906.9+30451.9+2645.2+1215175+105935+10204.1+371129.8+815000+18374+229900+147657.7+274979.1+49576.1+28630.8+7467247+48488.2+114000+74676.7+847.8+1588304.4+3071570.9+86000+70000+10325+1131550.7+969444.8+64359+590605+2500.1+20970.4+45394+100000+310365+366563.4+11681.1+16554000.2+1067851.5+30000+31119.6+57659.1+199894.5+43000+135471.1+6009.3+99204.9+1507901.1+22000</f>
        <v>55563815.300000004</v>
      </c>
      <c r="H85" s="220">
        <f t="shared" si="15"/>
        <v>100</v>
      </c>
      <c r="I85" s="53" t="s">
        <v>236</v>
      </c>
      <c r="J85" s="53" t="s">
        <v>121</v>
      </c>
      <c r="K85" s="52" t="s">
        <v>260</v>
      </c>
      <c r="L85" s="52" t="s">
        <v>269</v>
      </c>
      <c r="M85" s="57" t="s">
        <v>111</v>
      </c>
      <c r="N85" s="198"/>
    </row>
    <row r="86" spans="1:14" ht="15" customHeight="1">
      <c r="A86" s="107" t="s">
        <v>71</v>
      </c>
      <c r="B86" s="50" t="s">
        <v>428</v>
      </c>
      <c r="C86" s="47">
        <f t="shared" si="13"/>
        <v>0</v>
      </c>
      <c r="D86" s="68"/>
      <c r="E86" s="48">
        <f t="shared" si="14"/>
        <v>0</v>
      </c>
      <c r="F86" s="51">
        <f>'1.4'!J86</f>
        <v>11862299.85579</v>
      </c>
      <c r="G86" s="144">
        <v>0</v>
      </c>
      <c r="H86" s="220">
        <f t="shared" si="15"/>
        <v>0</v>
      </c>
      <c r="I86" s="53" t="s">
        <v>236</v>
      </c>
      <c r="J86" s="53" t="s">
        <v>111</v>
      </c>
      <c r="K86" s="52" t="s">
        <v>262</v>
      </c>
      <c r="L86" s="52" t="s">
        <v>111</v>
      </c>
      <c r="M86" s="57" t="s">
        <v>291</v>
      </c>
      <c r="N86" s="198" t="s">
        <v>111</v>
      </c>
    </row>
    <row r="87" spans="1:14" s="30" customFormat="1" ht="15" customHeight="1">
      <c r="A87" s="107" t="s">
        <v>72</v>
      </c>
      <c r="B87" s="50" t="s">
        <v>426</v>
      </c>
      <c r="C87" s="47">
        <f t="shared" si="13"/>
        <v>2</v>
      </c>
      <c r="D87" s="68"/>
      <c r="E87" s="48">
        <f t="shared" si="14"/>
        <v>2</v>
      </c>
      <c r="F87" s="51">
        <f>'1.4'!J87</f>
        <v>12985571.4</v>
      </c>
      <c r="G87" s="51">
        <f>30056.7+54683.1+65088.6+10412+93923.4+94981.8+89655.2+9000+9522.6+7500+30000+6268.4+29636.9+500+17901.8+15513.8+3687.1+10438.7+1000+75864+13026.5+3702+66498.1+604382.8+12274.4+5500+99466.4+48487.5+678.5+50000+52209.8+37183.5+95906.2+36461.5+422178.6-30905.8+79988.2-4000+6763+21756.8+165475.4+5117.9+4959.3+67545.4+6197.4+191.7+22268.9+68600+23016.9+1828473.1+167983+367995.7+3142.3+88780.5+1092586.7+163260.1+486429.6+213549.3+406068.9+85077.1+9375.1+21547.6+25298+21486.9+2916.5+66015.4+25467+21650+429854.9+240000+707000+843524.7+12500+70267.8+294703.9+228243.2+157435.2+270871.8+26610+102712.5+388144.6+115805.8+15000</f>
        <v>11640342.199999999</v>
      </c>
      <c r="H87" s="220">
        <f t="shared" si="15"/>
        <v>89.6</v>
      </c>
      <c r="I87" s="53" t="s">
        <v>236</v>
      </c>
      <c r="J87" s="53" t="s">
        <v>121</v>
      </c>
      <c r="K87" s="52" t="s">
        <v>259</v>
      </c>
      <c r="L87" s="52" t="s">
        <v>489</v>
      </c>
      <c r="M87" s="57" t="s">
        <v>111</v>
      </c>
      <c r="N87" s="198"/>
    </row>
    <row r="88" spans="1:14" s="30" customFormat="1" ht="15" customHeight="1">
      <c r="A88" s="120" t="s">
        <v>73</v>
      </c>
      <c r="B88" s="89"/>
      <c r="C88" s="89"/>
      <c r="D88" s="89"/>
      <c r="E88" s="89"/>
      <c r="F88" s="228"/>
      <c r="G88" s="228"/>
      <c r="H88" s="86"/>
      <c r="I88" s="89"/>
      <c r="J88" s="89"/>
      <c r="K88" s="89"/>
      <c r="L88" s="89"/>
      <c r="M88" s="149"/>
      <c r="N88" s="198"/>
    </row>
    <row r="89" spans="1:14" s="30" customFormat="1" ht="15" customHeight="1">
      <c r="A89" s="107" t="s">
        <v>63</v>
      </c>
      <c r="B89" s="50" t="s">
        <v>426</v>
      </c>
      <c r="C89" s="47">
        <f t="shared" si="13"/>
        <v>2</v>
      </c>
      <c r="D89" s="68"/>
      <c r="E89" s="48">
        <f t="shared" ref="E89:E99" si="16">C89*(1-D89)</f>
        <v>2</v>
      </c>
      <c r="F89" s="51">
        <f>'1.4'!J89</f>
        <v>25362062.600000001</v>
      </c>
      <c r="G89" s="51">
        <f>312023.1+557389.3+5720+17329.1+21881.6+200000+467.6+3800+659432.3+949223.5+6696.6+4574.1+76409.8+4986.6+12351.3+267300.3+225807.9+39.4+325446.4+223084.8+12617.5+64814.2+12800.9+288162.4+477971.6+2575464.9+7938639.5+33286.4+47614.2+1297072.1+23813+2150+59109.1+8021.6+818935.7+133214.4+2110+25427.6+536563.8+29258.4+8453.9+121782.4+2500+4490+1115037.7+96500+4884.8+7125+23490.5+25468+124386.1+13510+18431.8+287634+352667.4+17858.4+3655.4+4400+12129+12138.6+91652.8+867318.8+194749+9236.8+53677.2+42099+1934531.5+229115.9+264508.8+87061.9+29567.1+1219.7+10290.7+49487.6</f>
        <v>24382070.799999993</v>
      </c>
      <c r="H89" s="220">
        <f t="shared" ref="H89:H99" si="17">ROUND(G89/F89*100,1)</f>
        <v>96.1</v>
      </c>
      <c r="I89" s="53" t="s">
        <v>236</v>
      </c>
      <c r="J89" s="53" t="s">
        <v>121</v>
      </c>
      <c r="K89" s="52" t="s">
        <v>265</v>
      </c>
      <c r="L89" s="52" t="s">
        <v>490</v>
      </c>
      <c r="M89" s="57" t="s">
        <v>111</v>
      </c>
      <c r="N89" s="198"/>
    </row>
    <row r="90" spans="1:14" ht="15" customHeight="1">
      <c r="A90" s="107" t="s">
        <v>74</v>
      </c>
      <c r="B90" s="50" t="s">
        <v>428</v>
      </c>
      <c r="C90" s="47">
        <f t="shared" si="13"/>
        <v>0</v>
      </c>
      <c r="D90" s="68"/>
      <c r="E90" s="48">
        <f t="shared" si="16"/>
        <v>0</v>
      </c>
      <c r="F90" s="51" t="s">
        <v>618</v>
      </c>
      <c r="G90" s="51">
        <f>45087.89+19524.29+480030+872746.75+219462.42+251182+316281.3+1041895.45+8453.91</f>
        <v>3254664.01</v>
      </c>
      <c r="H90" s="220" t="s">
        <v>111</v>
      </c>
      <c r="I90" s="53" t="s">
        <v>617</v>
      </c>
      <c r="J90" s="53" t="s">
        <v>121</v>
      </c>
      <c r="K90" s="52" t="s">
        <v>259</v>
      </c>
      <c r="L90" s="52" t="s">
        <v>267</v>
      </c>
      <c r="M90" s="57" t="s">
        <v>624</v>
      </c>
      <c r="N90" s="198" t="s">
        <v>111</v>
      </c>
    </row>
    <row r="91" spans="1:14" ht="15" customHeight="1">
      <c r="A91" s="107" t="s">
        <v>67</v>
      </c>
      <c r="B91" s="50" t="s">
        <v>426</v>
      </c>
      <c r="C91" s="47">
        <f t="shared" si="13"/>
        <v>2</v>
      </c>
      <c r="D91" s="68">
        <v>0.5</v>
      </c>
      <c r="E91" s="48">
        <f t="shared" si="16"/>
        <v>1</v>
      </c>
      <c r="F91" s="51">
        <f>'1.4'!J91</f>
        <v>5638952.5999999996</v>
      </c>
      <c r="G91" s="51">
        <f>1159.2+112184.9+200000+1088.1+40053+710224.8+160000+3113.5+46487.1+4172+15000+70399.4+956172.9+18963.5+16536.3+2056862.4+8460.6+29648.1+189511.3+14646.8+281188.5</f>
        <v>4935872.3999999985</v>
      </c>
      <c r="H91" s="220">
        <f t="shared" si="17"/>
        <v>87.5</v>
      </c>
      <c r="I91" s="53" t="s">
        <v>236</v>
      </c>
      <c r="J91" s="53" t="s">
        <v>122</v>
      </c>
      <c r="K91" s="52" t="s">
        <v>282</v>
      </c>
      <c r="L91" s="52" t="s">
        <v>493</v>
      </c>
      <c r="M91" s="57" t="s">
        <v>255</v>
      </c>
      <c r="N91" s="198" t="s">
        <v>111</v>
      </c>
    </row>
    <row r="92" spans="1:14" s="30" customFormat="1" ht="15" customHeight="1">
      <c r="A92" s="107" t="s">
        <v>75</v>
      </c>
      <c r="B92" s="50" t="s">
        <v>426</v>
      </c>
      <c r="C92" s="47">
        <f t="shared" si="13"/>
        <v>2</v>
      </c>
      <c r="D92" s="68"/>
      <c r="E92" s="48">
        <f t="shared" si="16"/>
        <v>2</v>
      </c>
      <c r="F92" s="51">
        <f>'1.4'!J92</f>
        <v>5808307.3542999998</v>
      </c>
      <c r="G92" s="51">
        <v>4542052.5356099997</v>
      </c>
      <c r="H92" s="220">
        <f t="shared" si="17"/>
        <v>78.2</v>
      </c>
      <c r="I92" s="53" t="s">
        <v>236</v>
      </c>
      <c r="J92" s="53" t="s">
        <v>121</v>
      </c>
      <c r="K92" s="52" t="s">
        <v>265</v>
      </c>
      <c r="L92" s="57" t="s">
        <v>288</v>
      </c>
      <c r="M92" s="57" t="s">
        <v>111</v>
      </c>
      <c r="N92" s="198"/>
    </row>
    <row r="93" spans="1:14" s="30" customFormat="1" ht="15" customHeight="1">
      <c r="A93" s="107" t="s">
        <v>553</v>
      </c>
      <c r="B93" s="50" t="s">
        <v>426</v>
      </c>
      <c r="C93" s="47">
        <f t="shared" si="13"/>
        <v>2</v>
      </c>
      <c r="D93" s="68"/>
      <c r="E93" s="48">
        <f t="shared" si="16"/>
        <v>2</v>
      </c>
      <c r="F93" s="51">
        <f>'1.4'!J93</f>
        <v>17336515.179580003</v>
      </c>
      <c r="G93" s="144">
        <f>(149992999.2+536876497.96+2063681751.3+20227653.06+206450708.62+446241785.72+98688750.71+189635590+279400000+239300000+411364410+119047609+44268117.58+298787494.38+44021600.6+153678110.32+17631578.95+110819796.2+18606403.16+5000000+50000000+5712170+1737380.95+13841428.57+119251900+9133690.48+31434950.83+1277346509.3+332026584.85+4950000+216862213.91+252452044.52+44269592.2+235267100+29655579.12+381184581.47+50000000+100000000+26283108+9935075.81+110176176.9+118626730+241031490+3510305.58+4670000+64000000+53629695+331162080+92857142.86+9000000+17635470+188332600+477408342.55+900649988.52+412387607.55+452220566.27+15000000+1137371273.18+135762511.73+270064800+216975218.44+3792976.19+100000000+30220831.39+321167551.02+160790106.46+28473877.56+5673609.1+5914642.86+1843809.52+537561836.74+600000000+5000000+138051643.29+14931785.71+8694893.65+2551020.41+806000000+160000000+4950000+130305300+25510204.08+34699300)/1000</f>
        <v>17023670.153329998</v>
      </c>
      <c r="H93" s="220">
        <f t="shared" si="17"/>
        <v>98.2</v>
      </c>
      <c r="I93" s="53" t="s">
        <v>236</v>
      </c>
      <c r="J93" s="53" t="s">
        <v>121</v>
      </c>
      <c r="K93" s="52" t="s">
        <v>465</v>
      </c>
      <c r="L93" s="52" t="s">
        <v>267</v>
      </c>
      <c r="M93" s="57" t="s">
        <v>111</v>
      </c>
      <c r="N93" s="198"/>
    </row>
    <row r="94" spans="1:14" ht="15" customHeight="1">
      <c r="A94" s="107" t="s">
        <v>76</v>
      </c>
      <c r="B94" s="50" t="s">
        <v>428</v>
      </c>
      <c r="C94" s="47">
        <f t="shared" si="13"/>
        <v>0</v>
      </c>
      <c r="D94" s="68"/>
      <c r="E94" s="48">
        <f t="shared" si="16"/>
        <v>0</v>
      </c>
      <c r="F94" s="51">
        <f>'1.4'!J94</f>
        <v>6671181.5300000003</v>
      </c>
      <c r="G94" s="51">
        <f>8025.8+8500+1662.15+716705.15+287064.28+2100+42171.34+918954.74+24930+10655.95+7194.34+5630.78+5631.75+856679.59+169548.23</f>
        <v>3065454.1</v>
      </c>
      <c r="H94" s="220">
        <f t="shared" si="17"/>
        <v>46</v>
      </c>
      <c r="I94" s="53" t="s">
        <v>236</v>
      </c>
      <c r="J94" s="53" t="s">
        <v>121</v>
      </c>
      <c r="K94" s="52" t="s">
        <v>265</v>
      </c>
      <c r="L94" s="52" t="s">
        <v>289</v>
      </c>
      <c r="M94" s="57" t="s">
        <v>642</v>
      </c>
      <c r="N94" s="198" t="s">
        <v>111</v>
      </c>
    </row>
    <row r="95" spans="1:14" ht="15" customHeight="1">
      <c r="A95" s="107" t="s">
        <v>77</v>
      </c>
      <c r="B95" s="50" t="s">
        <v>426</v>
      </c>
      <c r="C95" s="47">
        <f t="shared" si="13"/>
        <v>2</v>
      </c>
      <c r="D95" s="68"/>
      <c r="E95" s="48">
        <f t="shared" si="16"/>
        <v>2</v>
      </c>
      <c r="F95" s="51">
        <f>'1.4'!J95</f>
        <v>15019304.300000001</v>
      </c>
      <c r="G95" s="51">
        <f>3955.6+22025.6+4437526.8+2029.9+850+90+185082.5+30000+5943.7+60742.3+421094.6+338169.4+136575.5+513365.5+831600+796849.4+1751302+543213.8+210237.4+24162.3+589139.4+13536+10000+141946.4+307654.1+52500+43500+272242.5+108323+103443.5+47235.3+48207.9+11929.7+107307.9+14565.4+84577.1+29812.5+30000+110105+643220.7+20947.5+97873+221152.1+310835.8+97536.6+152400+608500+5763.2+22000+3880.3+155267.4+64045.9+2806.8</f>
        <v>14847071.300000004</v>
      </c>
      <c r="H95" s="220">
        <f t="shared" si="17"/>
        <v>98.9</v>
      </c>
      <c r="I95" s="53" t="s">
        <v>236</v>
      </c>
      <c r="J95" s="53" t="s">
        <v>121</v>
      </c>
      <c r="K95" s="52" t="s">
        <v>263</v>
      </c>
      <c r="L95" s="52" t="s">
        <v>492</v>
      </c>
      <c r="M95" s="57" t="s">
        <v>111</v>
      </c>
    </row>
    <row r="96" spans="1:14" ht="15" customHeight="1">
      <c r="A96" s="107" t="s">
        <v>78</v>
      </c>
      <c r="B96" s="50" t="s">
        <v>428</v>
      </c>
      <c r="C96" s="47">
        <f t="shared" si="13"/>
        <v>0</v>
      </c>
      <c r="D96" s="68"/>
      <c r="E96" s="48">
        <f t="shared" si="16"/>
        <v>0</v>
      </c>
      <c r="F96" s="51">
        <f>'1.4'!J96</f>
        <v>1383383.976</v>
      </c>
      <c r="G96" s="51" t="s">
        <v>618</v>
      </c>
      <c r="H96" s="220" t="s">
        <v>111</v>
      </c>
      <c r="I96" s="53" t="s">
        <v>236</v>
      </c>
      <c r="J96" s="53" t="s">
        <v>121</v>
      </c>
      <c r="K96" s="52" t="s">
        <v>263</v>
      </c>
      <c r="L96" s="52" t="s">
        <v>269</v>
      </c>
      <c r="M96" s="50" t="s">
        <v>657</v>
      </c>
      <c r="N96" s="198" t="s">
        <v>111</v>
      </c>
    </row>
    <row r="97" spans="1:14" s="30" customFormat="1" ht="15" customHeight="1">
      <c r="A97" s="107" t="s">
        <v>79</v>
      </c>
      <c r="B97" s="50" t="s">
        <v>426</v>
      </c>
      <c r="C97" s="47">
        <f t="shared" si="13"/>
        <v>2</v>
      </c>
      <c r="D97" s="68"/>
      <c r="E97" s="48">
        <f t="shared" si="16"/>
        <v>2</v>
      </c>
      <c r="F97" s="51">
        <f>'1.4'!J97</f>
        <v>24500537.300000001</v>
      </c>
      <c r="G97" s="51">
        <f>1079336.4+1380118.5+320000+1343917.7+243720.9+17846.6+340858.3+267060.9+3203052+102716+632281.5+177898.1+18578.4+12390929.7+12196+25000+53059.7+726388.5+8924.5+31446.2+4660+63205.1</f>
        <v>22443195</v>
      </c>
      <c r="H97" s="220">
        <f t="shared" si="17"/>
        <v>91.6</v>
      </c>
      <c r="I97" s="53" t="s">
        <v>236</v>
      </c>
      <c r="J97" s="53" t="s">
        <v>121</v>
      </c>
      <c r="K97" s="52" t="s">
        <v>286</v>
      </c>
      <c r="L97" s="52" t="s">
        <v>267</v>
      </c>
      <c r="M97" s="57" t="s">
        <v>111</v>
      </c>
      <c r="N97" s="198"/>
    </row>
    <row r="98" spans="1:14" s="30" customFormat="1" ht="15" customHeight="1">
      <c r="A98" s="107" t="s">
        <v>80</v>
      </c>
      <c r="B98" s="50" t="s">
        <v>426</v>
      </c>
      <c r="C98" s="47">
        <f t="shared" si="13"/>
        <v>2</v>
      </c>
      <c r="D98" s="68"/>
      <c r="E98" s="48">
        <f t="shared" si="16"/>
        <v>2</v>
      </c>
      <c r="F98" s="51">
        <f>'1.4'!J98</f>
        <v>1038960.6</v>
      </c>
      <c r="G98" s="51">
        <f>7300+910.8+127790.4+87805.4+16794.3+956+2122.7+347425.5+86666.7+3676.1+41750.9+19205.6+100000+60606.1+421+14000+2811.4+1455.5+1071.3+101010.1</f>
        <v>1023779.7999999999</v>
      </c>
      <c r="H98" s="220">
        <f t="shared" si="17"/>
        <v>98.5</v>
      </c>
      <c r="I98" s="53" t="s">
        <v>236</v>
      </c>
      <c r="J98" s="53" t="s">
        <v>121</v>
      </c>
      <c r="K98" s="52" t="s">
        <v>208</v>
      </c>
      <c r="L98" s="52" t="s">
        <v>491</v>
      </c>
      <c r="M98" s="57" t="s">
        <v>111</v>
      </c>
      <c r="N98" s="198"/>
    </row>
    <row r="99" spans="1:14" s="30" customFormat="1" ht="15" customHeight="1">
      <c r="A99" s="107" t="s">
        <v>81</v>
      </c>
      <c r="B99" s="50" t="s">
        <v>426</v>
      </c>
      <c r="C99" s="47">
        <f t="shared" si="13"/>
        <v>2</v>
      </c>
      <c r="D99" s="68"/>
      <c r="E99" s="48">
        <f t="shared" si="16"/>
        <v>2</v>
      </c>
      <c r="F99" s="51">
        <f>'1.4'!J99</f>
        <v>3179922.4</v>
      </c>
      <c r="G99" s="51">
        <f>20000+6000+1873.9+82105.3+33555.3+12818.9+3265.3+8500+3500+5790.9+31835.4+8148.6+31851+48000+62000+500000+5128.8+2668.9+60747.2+30996.2+35000+37780.9+23725.1+2380+292+1400+91518.1+7000+650+51597.1+12642.4+5000+26765.3+6795.4+10264.4+10602.7+294857.3+5000+14600+236141.5+493389.1+500+102040.8+664108.9+54191.7+2202.2</f>
        <v>3149230.6</v>
      </c>
      <c r="H99" s="220">
        <f t="shared" si="17"/>
        <v>99</v>
      </c>
      <c r="I99" s="53" t="s">
        <v>236</v>
      </c>
      <c r="J99" s="53" t="s">
        <v>121</v>
      </c>
      <c r="K99" s="52" t="s">
        <v>272</v>
      </c>
      <c r="L99" s="52" t="s">
        <v>283</v>
      </c>
      <c r="M99" s="57" t="s">
        <v>111</v>
      </c>
      <c r="N99" s="198"/>
    </row>
    <row r="100" spans="1:14">
      <c r="A100" s="29" t="s">
        <v>672</v>
      </c>
      <c r="M100" s="63"/>
    </row>
    <row r="101" spans="1:14">
      <c r="A101" s="29" t="s">
        <v>188</v>
      </c>
      <c r="E101" s="64"/>
      <c r="M101" s="63"/>
    </row>
    <row r="102" spans="1:14">
      <c r="A102" s="29" t="s">
        <v>646</v>
      </c>
      <c r="M102" s="63"/>
    </row>
    <row r="103" spans="1:14">
      <c r="M103" s="63"/>
    </row>
    <row r="104" spans="1:14">
      <c r="M104" s="63"/>
    </row>
    <row r="105" spans="1:14">
      <c r="M105" s="63"/>
    </row>
    <row r="106" spans="1:14">
      <c r="M106" s="63"/>
    </row>
    <row r="107" spans="1:14">
      <c r="A107" s="4"/>
      <c r="B107" s="4"/>
      <c r="C107" s="4"/>
      <c r="D107" s="65"/>
      <c r="E107" s="64"/>
      <c r="F107" s="230"/>
      <c r="G107" s="230"/>
      <c r="H107" s="223"/>
      <c r="I107" s="225"/>
      <c r="J107" s="225"/>
      <c r="K107" s="66"/>
      <c r="L107" s="66"/>
      <c r="M107" s="63"/>
    </row>
    <row r="108" spans="1:14">
      <c r="M108" s="63"/>
    </row>
    <row r="109" spans="1:14">
      <c r="M109" s="63"/>
    </row>
    <row r="110" spans="1:14">
      <c r="M110" s="63"/>
    </row>
    <row r="111" spans="1:14">
      <c r="A111" s="4"/>
      <c r="B111" s="4"/>
      <c r="C111" s="4"/>
      <c r="D111" s="65"/>
      <c r="E111" s="64"/>
      <c r="F111" s="230"/>
      <c r="G111" s="230"/>
      <c r="H111" s="223"/>
      <c r="I111" s="225"/>
      <c r="J111" s="225"/>
      <c r="K111" s="66"/>
      <c r="L111" s="66"/>
      <c r="M111" s="63"/>
    </row>
    <row r="112" spans="1:14" s="2" customFormat="1" ht="12">
      <c r="A112" s="3"/>
      <c r="B112" s="3"/>
      <c r="C112" s="3"/>
      <c r="D112" s="60"/>
      <c r="E112" s="61"/>
      <c r="F112" s="229"/>
      <c r="G112" s="229"/>
      <c r="H112" s="222"/>
      <c r="I112" s="224"/>
      <c r="J112" s="224"/>
      <c r="K112" s="62"/>
      <c r="L112" s="62"/>
      <c r="M112" s="67"/>
      <c r="N112" s="198"/>
    </row>
    <row r="113" spans="1:14">
      <c r="M113" s="63"/>
    </row>
    <row r="114" spans="1:14">
      <c r="A114" s="4"/>
      <c r="B114" s="4"/>
      <c r="C114" s="4"/>
      <c r="D114" s="65"/>
      <c r="E114" s="64"/>
      <c r="F114" s="230"/>
      <c r="G114" s="230"/>
      <c r="H114" s="223"/>
      <c r="I114" s="225"/>
      <c r="J114" s="225"/>
      <c r="K114" s="66"/>
      <c r="L114" s="66"/>
      <c r="M114" s="63"/>
    </row>
    <row r="115" spans="1:14" s="2" customFormat="1" ht="12">
      <c r="A115" s="3"/>
      <c r="B115" s="3"/>
      <c r="C115" s="3"/>
      <c r="D115" s="60"/>
      <c r="E115" s="61"/>
      <c r="F115" s="229"/>
      <c r="G115" s="229"/>
      <c r="H115" s="222"/>
      <c r="I115" s="224"/>
      <c r="J115" s="224"/>
      <c r="K115" s="62"/>
      <c r="L115" s="62"/>
      <c r="M115" s="67"/>
      <c r="N115" s="198"/>
    </row>
    <row r="116" spans="1:14">
      <c r="M116" s="63"/>
    </row>
    <row r="117" spans="1:14">
      <c r="M117" s="63"/>
    </row>
    <row r="118" spans="1:14">
      <c r="A118" s="4"/>
      <c r="B118" s="4"/>
      <c r="C118" s="4"/>
      <c r="D118" s="65"/>
      <c r="E118" s="64"/>
      <c r="F118" s="230"/>
      <c r="G118" s="230"/>
      <c r="H118" s="223"/>
      <c r="I118" s="225"/>
      <c r="J118" s="225"/>
      <c r="K118" s="66"/>
      <c r="L118" s="66"/>
    </row>
    <row r="119" spans="1:14" s="2" customFormat="1" ht="12">
      <c r="A119" s="3"/>
      <c r="B119" s="3"/>
      <c r="C119" s="3"/>
      <c r="D119" s="60"/>
      <c r="E119" s="61"/>
      <c r="F119" s="229"/>
      <c r="G119" s="229"/>
      <c r="H119" s="222"/>
      <c r="I119" s="224"/>
      <c r="J119" s="224"/>
      <c r="K119" s="62"/>
      <c r="L119" s="62"/>
      <c r="N119" s="198"/>
    </row>
  </sheetData>
  <mergeCells count="16">
    <mergeCell ref="K4:K6"/>
    <mergeCell ref="L4:L6"/>
    <mergeCell ref="J3:J6"/>
    <mergeCell ref="A1:M1"/>
    <mergeCell ref="A2:M2"/>
    <mergeCell ref="M3:M6"/>
    <mergeCell ref="D4:D6"/>
    <mergeCell ref="A3:A6"/>
    <mergeCell ref="C3:E3"/>
    <mergeCell ref="C4:C6"/>
    <mergeCell ref="E4:E6"/>
    <mergeCell ref="F3:F6"/>
    <mergeCell ref="G3:G6"/>
    <mergeCell ref="H3:H6"/>
    <mergeCell ref="I3:I6"/>
    <mergeCell ref="K3:L3"/>
  </mergeCells>
  <dataValidations count="4">
    <dataValidation type="list" allowBlank="1" showInputMessage="1" showErrorMessage="1" sqref="D37 D39:D45 D48:D54 D78:D87 D8:D24 D56:D69 D89:D99 D27:D35 D71:D76" xr:uid="{00000000-0002-0000-0700-000000000000}">
      <mc:AlternateContent xmlns:x12ac="http://schemas.microsoft.com/office/spreadsheetml/2011/1/ac" xmlns:mc="http://schemas.openxmlformats.org/markup-compatibility/2006">
        <mc:Choice Requires="x12ac">
          <x12ac:list>"0,5"</x12ac:list>
        </mc:Choice>
        <mc:Fallback>
          <formula1>"0,5"</formula1>
        </mc:Fallback>
      </mc:AlternateContent>
    </dataValidation>
    <dataValidation type="list" allowBlank="1" showInputMessage="1" showErrorMessage="1" sqref="D7" xr:uid="{00000000-0002-0000-0700-000001000000}">
      <formula1>"0,5"</formula1>
    </dataValidation>
    <dataValidation type="list" allowBlank="1" showInputMessage="1" showErrorMessage="1" sqref="B7 I7:J7" xr:uid="{00000000-0002-0000-0700-000002000000}">
      <formula1>#REF!</formula1>
    </dataValidation>
    <dataValidation type="list" allowBlank="1" showInputMessage="1" showErrorMessage="1" sqref="B27:B35 B78:B87 B39:B45 B71:B76 B56:B69 B8:B24 B37 B89:B99 B48:B54" xr:uid="{00000000-0002-0000-0700-000003000000}">
      <formula1>$B$4:$B$6</formula1>
    </dataValidation>
  </dataValidations>
  <pageMargins left="0.70866141732283472" right="0.70866141732283472" top="0.74803149606299213" bottom="0.74803149606299213" header="0.31496062992125984" footer="0.31496062992125984"/>
  <pageSetup paperSize="9" scale="61" fitToHeight="3" orientation="landscape" r:id="rId1"/>
  <headerFooter>
    <oddFooter>&amp;C&amp;A&amp;R&amp;P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Документ" ma:contentTypeID="0x010100230467C8CEFAC44593D3D344C2F48655" ma:contentTypeVersion="0" ma:contentTypeDescription="Создание документа." ma:contentTypeScope="" ma:versionID="cf81f99e34c18b20df9ff48604bc9af2">
  <xsd:schema xmlns:xsd="http://www.w3.org/2001/XMLSchema" xmlns:xs="http://www.w3.org/2001/XMLSchema" xmlns:p="http://schemas.microsoft.com/office/2006/metadata/properties" xmlns:ns2="b1e5bdc4-b57e-4af5-8c56-e26e352185e0" targetNamespace="http://schemas.microsoft.com/office/2006/metadata/properties" ma:root="true" ma:fieldsID="c31cf644ccdebe7c2c6fcf435b368b5c" ns2:_="">
    <xsd:import namespace="b1e5bdc4-b57e-4af5-8c56-e26e352185e0"/>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e5bdc4-b57e-4af5-8c56-e26e352185e0"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616B28D-4BE0-4BFA-875D-2569D3F54B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e5bdc4-b57e-4af5-8c56-e26e352185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6AD21D-BF8B-40B6-97B6-691ADCA72C8B}">
  <ds:schemaRefs>
    <ds:schemaRef ds:uri="http://schemas.microsoft.com/office/2006/documentManagement/types"/>
    <ds:schemaRef ds:uri="http://schemas.microsoft.com/office/infopath/2007/PartnerControls"/>
    <ds:schemaRef ds:uri="http://purl.org/dc/elements/1.1/"/>
    <ds:schemaRef ds:uri="http://www.w3.org/XML/1998/namespace"/>
    <ds:schemaRef ds:uri="http://schemas.openxmlformats.org/package/2006/metadata/core-properties"/>
    <ds:schemaRef ds:uri="b1e5bdc4-b57e-4af5-8c56-e26e352185e0"/>
    <ds:schemaRef ds:uri="http://purl.org/dc/dcmitype/"/>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27E83352-2EC7-47E8-8159-170B246C8279}">
  <ds:schemaRefs>
    <ds:schemaRef ds:uri="http://schemas.microsoft.com/sharepoint/v3/contenttype/forms"/>
  </ds:schemaRefs>
</ds:datastoreItem>
</file>

<file path=customXml/itemProps4.xml><?xml version="1.0" encoding="utf-8"?>
<ds:datastoreItem xmlns:ds="http://schemas.openxmlformats.org/officeDocument/2006/customXml" ds:itemID="{27C23373-14F2-4B7C-AFBE-B3A8ACE353A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8</vt:i4>
      </vt:variant>
      <vt:variant>
        <vt:lpstr>Именованные диапазоны</vt:lpstr>
      </vt:variant>
      <vt:variant>
        <vt:i4>18</vt:i4>
      </vt:variant>
    </vt:vector>
  </HeadingPairs>
  <TitlesOfParts>
    <vt:vector size="26" baseType="lpstr">
      <vt:lpstr>Рейтинг (раздел 1)</vt:lpstr>
      <vt:lpstr>Оценка (раздел 1)</vt:lpstr>
      <vt:lpstr>Методика (раздел 1)</vt:lpstr>
      <vt:lpstr>1.1</vt:lpstr>
      <vt:lpstr>1.2</vt:lpstr>
      <vt:lpstr>1.3</vt:lpstr>
      <vt:lpstr>1.4</vt:lpstr>
      <vt:lpstr>1.5</vt:lpstr>
      <vt:lpstr>'Методика (раздел 1)'!_Toc262683</vt:lpstr>
      <vt:lpstr>'Методика (раздел 1)'!_Toc510692579</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'Методика (раздел 1)'!Заголовки_для_печати</vt:lpstr>
      <vt:lpstr>'Оценка (раздел 1)'!Заголовки_для_печати</vt:lpstr>
      <vt:lpstr>'Рейтинг (раздел 1)'!Заголовки_для_печати</vt:lpstr>
      <vt:lpstr>'1.1'!Область_печати</vt:lpstr>
      <vt:lpstr>'1.2'!Область_печати</vt:lpstr>
      <vt:lpstr>'1.3'!Область_печати</vt:lpstr>
      <vt:lpstr>'1.4'!Область_печати</vt:lpstr>
      <vt:lpstr>'1.5'!Область_печати</vt:lpstr>
      <vt:lpstr>'Методика (раздел 1)'!Область_печати</vt:lpstr>
      <vt:lpstr>'Оценка (раздел 1)'!Область_печати</vt:lpstr>
      <vt:lpstr>'Рейтинг (раздел 1)'!Область_печати</vt:lpstr>
    </vt:vector>
  </TitlesOfParts>
  <Manager/>
  <Company>НИФИ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Ольга Тимофеева</cp:lastModifiedBy>
  <cp:lastPrinted>2020-05-26T10:06:55Z</cp:lastPrinted>
  <dcterms:created xsi:type="dcterms:W3CDTF">2015-12-18T16:44:35Z</dcterms:created>
  <dcterms:modified xsi:type="dcterms:W3CDTF">2024-04-26T11:44:42Z</dcterms:modified>
  <cp:category/>
</cp:coreProperties>
</file>